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7980" windowHeight="3420"/>
  </bookViews>
  <sheets>
    <sheet name="15000 kWh" sheetId="5" r:id="rId1"/>
    <sheet name="30000 kWh" sheetId="1" r:id="rId2"/>
    <sheet name="60000 kWh" sheetId="4" r:id="rId3"/>
    <sheet name="Annuitätenrechner" sheetId="2" r:id="rId4"/>
  </sheets>
  <definedNames>
    <definedName name="_xlnm.Print_Area" localSheetId="0">'15000 kWh'!$A$1:$L$153</definedName>
    <definedName name="_xlnm.Print_Area" localSheetId="1">'30000 kWh'!$A$1:$L$155</definedName>
    <definedName name="_xlnm.Print_Area" localSheetId="2">'60000 kWh'!$A$1:$K$152</definedName>
  </definedNames>
  <calcPr calcId="145621" concurrentManualCount="2"/>
</workbook>
</file>

<file path=xl/calcChain.xml><?xml version="1.0" encoding="utf-8"?>
<calcChain xmlns="http://schemas.openxmlformats.org/spreadsheetml/2006/main">
  <c r="I66" i="4" l="1"/>
  <c r="H66" i="4"/>
  <c r="G66" i="4"/>
  <c r="F66" i="4"/>
  <c r="E66" i="4"/>
  <c r="H65" i="4"/>
  <c r="I65" i="4"/>
  <c r="G65" i="4"/>
  <c r="F65" i="4" s="1"/>
  <c r="E65" i="4"/>
  <c r="J68" i="1"/>
  <c r="I68" i="1"/>
  <c r="H68" i="1"/>
  <c r="G68" i="1"/>
  <c r="F68" i="1"/>
  <c r="E68" i="1"/>
  <c r="J67" i="1"/>
  <c r="I67" i="1"/>
  <c r="H67" i="1"/>
  <c r="G67" i="1"/>
  <c r="F67" i="1"/>
  <c r="E67" i="1"/>
  <c r="H64" i="4" l="1"/>
  <c r="G64" i="4"/>
  <c r="F64" i="4"/>
  <c r="E64" i="4"/>
  <c r="D64" i="4"/>
  <c r="F23" i="4"/>
  <c r="F24" i="1"/>
  <c r="F24" i="5"/>
  <c r="G39" i="4" l="1"/>
  <c r="B4" i="4"/>
  <c r="G40" i="1"/>
  <c r="G40" i="5"/>
  <c r="B4" i="5"/>
  <c r="B7" i="1"/>
  <c r="B4" i="1"/>
  <c r="F43" i="1"/>
  <c r="F42" i="4"/>
  <c r="B7" i="4"/>
  <c r="F43" i="5"/>
  <c r="B7" i="5"/>
  <c r="J60" i="4"/>
  <c r="K61" i="5"/>
  <c r="I66" i="1" l="1"/>
  <c r="I65" i="5"/>
  <c r="H66" i="1"/>
  <c r="G66" i="1"/>
  <c r="F66" i="1"/>
  <c r="E66" i="1"/>
  <c r="D66" i="1"/>
  <c r="G65" i="5"/>
  <c r="F65" i="5"/>
  <c r="J66" i="1" l="1"/>
  <c r="I64" i="4"/>
  <c r="J65" i="5" l="1"/>
  <c r="D56" i="4" l="1"/>
  <c r="E56" i="4"/>
  <c r="D58" i="1"/>
  <c r="E58" i="1"/>
  <c r="D57" i="5"/>
  <c r="E57" i="5"/>
  <c r="J55" i="4" l="1"/>
  <c r="K57" i="1"/>
  <c r="B5" i="2"/>
  <c r="H4" i="4"/>
  <c r="G15" i="4" s="1"/>
  <c r="G23" i="4" s="1"/>
  <c r="G27" i="4" s="1"/>
  <c r="I4" i="1"/>
  <c r="G16" i="1" s="1"/>
  <c r="G24" i="1" s="1"/>
  <c r="G28" i="1" s="1"/>
  <c r="G55" i="1" s="1"/>
  <c r="I5" i="1"/>
  <c r="H4" i="5"/>
  <c r="G16" i="5" s="1"/>
  <c r="G24" i="5" s="1"/>
  <c r="G28" i="5" s="1"/>
  <c r="G54" i="5" s="1"/>
  <c r="I24" i="5"/>
  <c r="I28" i="5" s="1"/>
  <c r="I54" i="5" s="1"/>
  <c r="I36" i="5"/>
  <c r="I55" i="5" s="1"/>
  <c r="B10" i="5"/>
  <c r="I46" i="5" s="1"/>
  <c r="I48" i="5" s="1"/>
  <c r="I56" i="5" s="1"/>
  <c r="E24" i="5"/>
  <c r="E28" i="5" s="1"/>
  <c r="E54" i="5" s="1"/>
  <c r="E36" i="5"/>
  <c r="E55" i="5" s="1"/>
  <c r="H24" i="5"/>
  <c r="H28" i="5" s="1"/>
  <c r="H54" i="5" s="1"/>
  <c r="H36" i="5"/>
  <c r="H55" i="5" s="1"/>
  <c r="G36" i="5"/>
  <c r="G55" i="5" s="1"/>
  <c r="G48" i="5"/>
  <c r="G56" i="5" s="1"/>
  <c r="B9" i="1"/>
  <c r="I45" i="1" s="1"/>
  <c r="I49" i="1" s="1"/>
  <c r="I57" i="1" s="1"/>
  <c r="I36" i="1"/>
  <c r="I56" i="1" s="1"/>
  <c r="I24" i="1"/>
  <c r="I28" i="1" s="1"/>
  <c r="I55" i="1" s="1"/>
  <c r="K56" i="5"/>
  <c r="F48" i="5"/>
  <c r="F56" i="5" s="1"/>
  <c r="K36" i="5"/>
  <c r="K55" i="5" s="1"/>
  <c r="J36" i="5"/>
  <c r="J55" i="5" s="1"/>
  <c r="D36" i="5"/>
  <c r="D55" i="5" s="1"/>
  <c r="F36" i="5"/>
  <c r="F55" i="5" s="1"/>
  <c r="K24" i="5"/>
  <c r="K28" i="5" s="1"/>
  <c r="K54" i="5" s="1"/>
  <c r="J24" i="5"/>
  <c r="J28" i="5" s="1"/>
  <c r="J54" i="5" s="1"/>
  <c r="D24" i="5"/>
  <c r="D28" i="5" s="1"/>
  <c r="D54" i="5" s="1"/>
  <c r="F28" i="5"/>
  <c r="F54" i="5" s="1"/>
  <c r="B9" i="5"/>
  <c r="J45" i="5" s="1"/>
  <c r="J48" i="5" s="1"/>
  <c r="J56" i="5" s="1"/>
  <c r="B8" i="5"/>
  <c r="B6" i="5"/>
  <c r="H5" i="5"/>
  <c r="B5" i="5"/>
  <c r="E65" i="5" s="1"/>
  <c r="E41" i="5"/>
  <c r="E48" i="5" s="1"/>
  <c r="E56" i="5" s="1"/>
  <c r="H5" i="4"/>
  <c r="F47" i="4"/>
  <c r="G47" i="4"/>
  <c r="J35" i="4"/>
  <c r="J54" i="4" s="1"/>
  <c r="I35" i="4"/>
  <c r="D35" i="4"/>
  <c r="D54" i="4" s="1"/>
  <c r="F35" i="4"/>
  <c r="H35" i="4"/>
  <c r="E35" i="4"/>
  <c r="G35" i="4"/>
  <c r="G54" i="4" s="1"/>
  <c r="J23" i="4"/>
  <c r="J27" i="4" s="1"/>
  <c r="I23" i="4"/>
  <c r="I27" i="4" s="1"/>
  <c r="I53" i="4" s="1"/>
  <c r="D23" i="4"/>
  <c r="D27" i="4" s="1"/>
  <c r="B8" i="4"/>
  <c r="D43" i="4" s="1"/>
  <c r="D47" i="4" s="1"/>
  <c r="D55" i="4" s="1"/>
  <c r="B9" i="4"/>
  <c r="I44" i="4" s="1"/>
  <c r="I47" i="4" s="1"/>
  <c r="F27" i="4"/>
  <c r="H23" i="4"/>
  <c r="H27" i="4" s="1"/>
  <c r="E23" i="4"/>
  <c r="E27" i="4" s="1"/>
  <c r="E53" i="4" s="1"/>
  <c r="B5" i="4"/>
  <c r="E40" i="4" s="1"/>
  <c r="E47" i="4" s="1"/>
  <c r="B6" i="4"/>
  <c r="H41" i="4"/>
  <c r="H47" i="4" s="1"/>
  <c r="F49" i="1"/>
  <c r="F57" i="1" s="1"/>
  <c r="B10" i="1"/>
  <c r="J46" i="1" s="1"/>
  <c r="J49" i="1" s="1"/>
  <c r="J57" i="1" s="1"/>
  <c r="J24" i="1"/>
  <c r="J28" i="1" s="1"/>
  <c r="J55" i="1" s="1"/>
  <c r="J36" i="1"/>
  <c r="J56" i="1" s="1"/>
  <c r="B6" i="1"/>
  <c r="H42" i="1"/>
  <c r="H49" i="1" s="1"/>
  <c r="H57" i="1" s="1"/>
  <c r="K24" i="1"/>
  <c r="K28" i="1" s="1"/>
  <c r="K55" i="1" s="1"/>
  <c r="K36" i="1"/>
  <c r="K56" i="1" s="1"/>
  <c r="B5" i="1"/>
  <c r="E41" i="1"/>
  <c r="E49" i="1" s="1"/>
  <c r="E57" i="1" s="1"/>
  <c r="F28" i="1"/>
  <c r="F55" i="1" s="1"/>
  <c r="F36" i="1"/>
  <c r="F56" i="1" s="1"/>
  <c r="B8" i="1"/>
  <c r="D44" i="1" s="1"/>
  <c r="D49" i="1" s="1"/>
  <c r="D57" i="1" s="1"/>
  <c r="D24" i="1"/>
  <c r="D28" i="1" s="1"/>
  <c r="D55" i="1" s="1"/>
  <c r="D36" i="1"/>
  <c r="D56" i="1" s="1"/>
  <c r="H24" i="1"/>
  <c r="H28" i="1" s="1"/>
  <c r="H55" i="1" s="1"/>
  <c r="H36" i="1"/>
  <c r="H56" i="1" s="1"/>
  <c r="E24" i="1"/>
  <c r="E28" i="1" s="1"/>
  <c r="E55" i="1" s="1"/>
  <c r="E36" i="1"/>
  <c r="E56" i="1" s="1"/>
  <c r="G49" i="1"/>
  <c r="G57" i="1" s="1"/>
  <c r="G36" i="1"/>
  <c r="G56" i="1" s="1"/>
  <c r="D44" i="5" l="1"/>
  <c r="D48" i="5" s="1"/>
  <c r="D56" i="5" s="1"/>
  <c r="D59" i="5" s="1"/>
  <c r="D61" i="5" s="1"/>
  <c r="D65" i="5"/>
  <c r="H42" i="5"/>
  <c r="H48" i="5" s="1"/>
  <c r="H56" i="5" s="1"/>
  <c r="H65" i="5"/>
  <c r="G60" i="1"/>
  <c r="I60" i="1"/>
  <c r="I62" i="1" s="1"/>
  <c r="K60" i="1"/>
  <c r="K62" i="1" s="1"/>
  <c r="H60" i="1"/>
  <c r="H62" i="1" s="1"/>
  <c r="E60" i="1"/>
  <c r="E62" i="1" s="1"/>
  <c r="D60" i="1"/>
  <c r="D62" i="1" s="1"/>
  <c r="F60" i="1"/>
  <c r="F62" i="1" s="1"/>
  <c r="J60" i="1"/>
  <c r="J62" i="1" s="1"/>
  <c r="G59" i="5"/>
  <c r="G61" i="5" s="1"/>
  <c r="E59" i="5"/>
  <c r="E61" i="5" s="1"/>
  <c r="F59" i="5"/>
  <c r="F61" i="5" s="1"/>
  <c r="I59" i="5"/>
  <c r="I61" i="5" s="1"/>
  <c r="J59" i="5"/>
  <c r="J61" i="5" s="1"/>
  <c r="H59" i="5"/>
  <c r="H61" i="5" s="1"/>
  <c r="K59" i="5"/>
  <c r="F55" i="4"/>
  <c r="H53" i="4"/>
  <c r="E55" i="4"/>
  <c r="G53" i="4"/>
  <c r="F53" i="4"/>
  <c r="H54" i="4"/>
  <c r="I55" i="4"/>
  <c r="D53" i="4"/>
  <c r="D58" i="4" s="1"/>
  <c r="D60" i="4" s="1"/>
  <c r="F54" i="4"/>
  <c r="J53" i="4"/>
  <c r="J58" i="4" s="1"/>
  <c r="I54" i="4"/>
  <c r="E54" i="4"/>
  <c r="E58" i="4" s="1"/>
  <c r="G62" i="1"/>
  <c r="H55" i="4"/>
  <c r="G55" i="4"/>
  <c r="J66" i="5" l="1"/>
  <c r="J67" i="5" s="1"/>
  <c r="F66" i="5"/>
  <c r="F67" i="5" s="1"/>
  <c r="I66" i="5"/>
  <c r="I67" i="5" s="1"/>
  <c r="E66" i="5"/>
  <c r="E67" i="5" s="1"/>
  <c r="H66" i="5"/>
  <c r="H67" i="5" s="1"/>
  <c r="G66" i="5"/>
  <c r="G67" i="5" s="1"/>
  <c r="G58" i="4"/>
  <c r="G60" i="4" s="1"/>
  <c r="H58" i="4"/>
  <c r="H60" i="4" s="1"/>
  <c r="F58" i="4"/>
  <c r="F60" i="4" s="1"/>
  <c r="I58" i="4"/>
  <c r="I60" i="4" s="1"/>
  <c r="E60" i="4"/>
</calcChain>
</file>

<file path=xl/sharedStrings.xml><?xml version="1.0" encoding="utf-8"?>
<sst xmlns="http://schemas.openxmlformats.org/spreadsheetml/2006/main" count="341" uniqueCount="93">
  <si>
    <t>Jahresverbrauch</t>
  </si>
  <si>
    <t>kWh</t>
  </si>
  <si>
    <t>l Öl</t>
  </si>
  <si>
    <t>t Pellets</t>
  </si>
  <si>
    <t>Investitionen</t>
  </si>
  <si>
    <t>Pellets</t>
  </si>
  <si>
    <t>Heizöl</t>
  </si>
  <si>
    <t>Montage, Inbetriebnahme</t>
  </si>
  <si>
    <t>Bauseitige Leistungen (Maurer, Stromer)</t>
  </si>
  <si>
    <t>Betrieb und Unterhalt</t>
  </si>
  <si>
    <t>Kaminfeger</t>
  </si>
  <si>
    <t>Abgaskontrolle</t>
  </si>
  <si>
    <t>Total Betrieb</t>
  </si>
  <si>
    <t>Total Investitionen</t>
  </si>
  <si>
    <t>Öko-Heizöl</t>
  </si>
  <si>
    <t>Strom für Antriebe und Pumpen</t>
  </si>
  <si>
    <t>CHF / Tonne</t>
  </si>
  <si>
    <t>CHF / 100 Liter</t>
  </si>
  <si>
    <t>Total Energie</t>
  </si>
  <si>
    <t>Betriebskosten</t>
  </si>
  <si>
    <t>Energiekosten</t>
  </si>
  <si>
    <t>m²</t>
  </si>
  <si>
    <t>Wärmekosten [Rp./kWh]</t>
  </si>
  <si>
    <t>Energiebezugsfläche EBF</t>
  </si>
  <si>
    <t>Rp./kWh</t>
  </si>
  <si>
    <t>Gas</t>
  </si>
  <si>
    <t>Rp./m³</t>
  </si>
  <si>
    <t>m³ Gas</t>
  </si>
  <si>
    <t>kWh/(m²xJahr)</t>
  </si>
  <si>
    <t>Strom L/W-WP</t>
  </si>
  <si>
    <t>Strom Erdsonde-WP</t>
  </si>
  <si>
    <t>kWh Strom Erdsonde-Wärmepumpe</t>
  </si>
  <si>
    <t>kWh Strom Luft-Wasser-Wärmepumpe</t>
  </si>
  <si>
    <t>WP Sonde</t>
  </si>
  <si>
    <t>WP Luft</t>
  </si>
  <si>
    <t>inkl. Warmwasser</t>
  </si>
  <si>
    <t>Fernwärme</t>
  </si>
  <si>
    <t>kWh Fernwärme</t>
  </si>
  <si>
    <t>Nettoinvestitionen</t>
  </si>
  <si>
    <t>Fern-wärme</t>
  </si>
  <si>
    <t>Solares Warm-wasser</t>
  </si>
  <si>
    <t>Stückholz</t>
  </si>
  <si>
    <t>CHF/Ster</t>
  </si>
  <si>
    <t>CHF/100 Liter</t>
  </si>
  <si>
    <t>Ster Hartholz</t>
  </si>
  <si>
    <t>Ster Stückholz</t>
  </si>
  <si>
    <t>Fr./Ster (50cm)</t>
  </si>
  <si>
    <t>Sondenlänge</t>
  </si>
  <si>
    <t>Energiekennzahl Wärme</t>
  </si>
  <si>
    <t>Expansion, Heizverteilung, Heizkörper</t>
  </si>
  <si>
    <t>Demontage Heizung / Tank</t>
  </si>
  <si>
    <t>Austragung</t>
  </si>
  <si>
    <t xml:space="preserve">Austragung </t>
  </si>
  <si>
    <t>Boiler / Wärmespeicher</t>
  </si>
  <si>
    <t>Adresse</t>
  </si>
  <si>
    <t>Heizkostenvergleich mit ?? Liter Öl</t>
  </si>
  <si>
    <t>Heizkostenvergleich mit ?? Liter ÖL</t>
  </si>
  <si>
    <t>m</t>
  </si>
  <si>
    <t>Sonde / Kanäle</t>
  </si>
  <si>
    <t>Silo / Anschluss</t>
  </si>
  <si>
    <t xml:space="preserve">Pellets </t>
  </si>
  <si>
    <t>Kessel / Wärmetauscher / WP</t>
  </si>
  <si>
    <t>Förderung Gemeinde / EVU</t>
  </si>
  <si>
    <t>Förderung Kanton</t>
  </si>
  <si>
    <t>Annuitätenrechner</t>
  </si>
  <si>
    <t>Zinssatz</t>
  </si>
  <si>
    <t>Dauer (Jahre)</t>
  </si>
  <si>
    <t>Annuität in %</t>
  </si>
  <si>
    <t>Annuität (%)</t>
  </si>
  <si>
    <t>Kapitalkosten pro Jahr</t>
  </si>
  <si>
    <t>Dauer der Abschreibung (Jahre)</t>
  </si>
  <si>
    <t>Total Energiekosten pro Jahr</t>
  </si>
  <si>
    <t>Jahreskosten und Kosten/kWh</t>
  </si>
  <si>
    <t>Jahreskosten (Fr)</t>
  </si>
  <si>
    <t>Förderung Gemeinden / EVU</t>
  </si>
  <si>
    <t>CO2 Abgabe (60 Fr./t)</t>
  </si>
  <si>
    <t>ab 2016 Fr. 84/t</t>
  </si>
  <si>
    <t>Solares Warm-Wasser</t>
  </si>
  <si>
    <t>Energiekosten (inkl. CO2)</t>
  </si>
  <si>
    <t>Tankreinigung / Gaszähler</t>
  </si>
  <si>
    <t>Service / Reparaturen</t>
  </si>
  <si>
    <t>Tankreinigung  Gaszähler</t>
  </si>
  <si>
    <t>Umweltbelastung</t>
  </si>
  <si>
    <t xml:space="preserve">Fossiles CO2 </t>
  </si>
  <si>
    <t>Tonnen / Jahr</t>
  </si>
  <si>
    <t>Kapitalkosten, Annuität gerechnet mit  3% Zins</t>
  </si>
  <si>
    <t xml:space="preserve">Abgasanlage (Kamin) </t>
  </si>
  <si>
    <t>Solares Warmwasser mit 6m² Kollektorfläche</t>
  </si>
  <si>
    <t>Solares Warmwasser mit 12m² Kollektorfläche</t>
  </si>
  <si>
    <t>Einsparung CO2</t>
  </si>
  <si>
    <t>in %</t>
  </si>
  <si>
    <t>Tonnen / Jahr gegenüber Heizöl</t>
  </si>
  <si>
    <t>tonnen / Jahr gegenüber Heizöl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</si>
</sst>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Fr.&quot;\ #,##0.00;[Red]&quot;Fr.&quot;\ \-#,##0.00"/>
    <numFmt numFmtId="164" formatCode="0.0"/>
    <numFmt numFmtId="165" formatCode="#,##0.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3" fontId="5" fillId="2" borderId="0" xfId="0" applyNumberFormat="1" applyFont="1" applyFill="1"/>
    <xf numFmtId="3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8" fillId="0" borderId="0" xfId="0" applyFont="1"/>
    <xf numFmtId="0" fontId="6" fillId="0" borderId="0" xfId="0" applyFont="1"/>
    <xf numFmtId="3" fontId="5" fillId="0" borderId="0" xfId="0" applyNumberFormat="1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right"/>
    </xf>
    <xf numFmtId="0" fontId="14" fillId="0" borderId="0" xfId="0" applyFont="1"/>
    <xf numFmtId="164" fontId="5" fillId="0" borderId="0" xfId="0" applyNumberFormat="1" applyFont="1" applyAlignment="1">
      <alignment horizontal="right"/>
    </xf>
    <xf numFmtId="3" fontId="5" fillId="3" borderId="0" xfId="0" applyNumberFormat="1" applyFont="1" applyFill="1"/>
    <xf numFmtId="0" fontId="5" fillId="3" borderId="0" xfId="0" applyFont="1" applyFill="1"/>
    <xf numFmtId="8" fontId="0" fillId="0" borderId="0" xfId="0" applyNumberFormat="1"/>
    <xf numFmtId="10" fontId="16" fillId="4" borderId="0" xfId="1" applyNumberFormat="1" applyFont="1" applyFill="1"/>
    <xf numFmtId="10" fontId="2" fillId="4" borderId="0" xfId="1" applyNumberFormat="1" applyFont="1" applyFill="1"/>
    <xf numFmtId="0" fontId="0" fillId="4" borderId="0" xfId="0" applyFill="1"/>
    <xf numFmtId="0" fontId="9" fillId="0" borderId="0" xfId="0" applyFont="1"/>
    <xf numFmtId="0" fontId="5" fillId="5" borderId="1" xfId="0" applyFont="1" applyFill="1" applyBorder="1"/>
    <xf numFmtId="1" fontId="5" fillId="5" borderId="1" xfId="0" applyNumberFormat="1" applyFont="1" applyFill="1" applyBorder="1"/>
    <xf numFmtId="0" fontId="0" fillId="5" borderId="1" xfId="0" applyFill="1" applyBorder="1"/>
    <xf numFmtId="0" fontId="11" fillId="5" borderId="1" xfId="0" applyFont="1" applyFill="1" applyBorder="1"/>
    <xf numFmtId="1" fontId="15" fillId="5" borderId="1" xfId="0" applyNumberFormat="1" applyFont="1" applyFill="1" applyBorder="1"/>
    <xf numFmtId="0" fontId="6" fillId="5" borderId="1" xfId="0" applyFont="1" applyFill="1" applyBorder="1"/>
    <xf numFmtId="0" fontId="5" fillId="6" borderId="1" xfId="0" applyFont="1" applyFill="1" applyBorder="1"/>
    <xf numFmtId="0" fontId="11" fillId="6" borderId="1" xfId="0" applyFont="1" applyFill="1" applyBorder="1"/>
    <xf numFmtId="10" fontId="5" fillId="6" borderId="1" xfId="0" applyNumberFormat="1" applyFont="1" applyFill="1" applyBorder="1"/>
    <xf numFmtId="10" fontId="11" fillId="6" borderId="1" xfId="0" applyNumberFormat="1" applyFont="1" applyFill="1" applyBorder="1"/>
    <xf numFmtId="1" fontId="5" fillId="6" borderId="1" xfId="0" applyNumberFormat="1" applyFont="1" applyFill="1" applyBorder="1"/>
    <xf numFmtId="0" fontId="0" fillId="6" borderId="1" xfId="0" applyFill="1" applyBorder="1"/>
    <xf numFmtId="0" fontId="6" fillId="6" borderId="1" xfId="0" applyFont="1" applyFill="1" applyBorder="1"/>
    <xf numFmtId="1" fontId="6" fillId="6" borderId="1" xfId="0" applyNumberFormat="1" applyFont="1" applyFill="1" applyBorder="1"/>
    <xf numFmtId="0" fontId="15" fillId="7" borderId="0" xfId="0" applyFont="1" applyFill="1" applyBorder="1" applyAlignment="1">
      <alignment horizontal="left"/>
    </xf>
    <xf numFmtId="1" fontId="15" fillId="7" borderId="0" xfId="0" applyNumberFormat="1" applyFont="1" applyFill="1" applyBorder="1"/>
    <xf numFmtId="0" fontId="6" fillId="7" borderId="0" xfId="0" applyFont="1" applyFill="1" applyBorder="1"/>
    <xf numFmtId="0" fontId="0" fillId="7" borderId="0" xfId="0" applyFill="1"/>
    <xf numFmtId="10" fontId="16" fillId="7" borderId="0" xfId="1" applyNumberFormat="1" applyFont="1" applyFill="1"/>
    <xf numFmtId="0" fontId="5" fillId="8" borderId="1" xfId="0" applyFont="1" applyFill="1" applyBorder="1"/>
    <xf numFmtId="0" fontId="11" fillId="8" borderId="1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5" fillId="9" borderId="1" xfId="0" applyFont="1" applyFill="1" applyBorder="1"/>
    <xf numFmtId="0" fontId="13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/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3" fillId="8" borderId="1" xfId="0" applyFont="1" applyFill="1" applyBorder="1"/>
    <xf numFmtId="1" fontId="6" fillId="5" borderId="1" xfId="0" applyNumberFormat="1" applyFont="1" applyFill="1" applyBorder="1"/>
    <xf numFmtId="10" fontId="9" fillId="0" borderId="0" xfId="1" applyNumberFormat="1" applyFont="1"/>
    <xf numFmtId="0" fontId="6" fillId="8" borderId="1" xfId="0" applyFont="1" applyFill="1" applyBorder="1"/>
    <xf numFmtId="0" fontId="6" fillId="9" borderId="1" xfId="0" applyFont="1" applyFill="1" applyBorder="1"/>
    <xf numFmtId="0" fontId="5" fillId="0" borderId="0" xfId="0" applyFont="1" applyAlignment="1"/>
    <xf numFmtId="0" fontId="6" fillId="9" borderId="1" xfId="0" applyFont="1" applyFill="1" applyBorder="1" applyAlignment="1"/>
    <xf numFmtId="0" fontId="2" fillId="0" borderId="0" xfId="0" applyFont="1" applyAlignment="1"/>
    <xf numFmtId="0" fontId="6" fillId="0" borderId="0" xfId="0" applyFont="1" applyAlignment="1"/>
    <xf numFmtId="0" fontId="6" fillId="8" borderId="1" xfId="0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right" wrapText="1"/>
    </xf>
    <xf numFmtId="0" fontId="5" fillId="3" borderId="1" xfId="0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6" fillId="7" borderId="0" xfId="0" applyFont="1" applyFill="1" applyBorder="1" applyAlignment="1"/>
    <xf numFmtId="0" fontId="2" fillId="7" borderId="0" xfId="0" applyFont="1" applyFill="1" applyAlignment="1"/>
    <xf numFmtId="0" fontId="13" fillId="1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/>
    <xf numFmtId="0" fontId="6" fillId="10" borderId="1" xfId="0" applyFont="1" applyFill="1" applyBorder="1"/>
    <xf numFmtId="164" fontId="6" fillId="10" borderId="1" xfId="0" applyNumberFormat="1" applyFont="1" applyFill="1" applyBorder="1"/>
    <xf numFmtId="1" fontId="0" fillId="5" borderId="1" xfId="0" applyNumberFormat="1" applyFill="1" applyBorder="1"/>
    <xf numFmtId="1" fontId="6" fillId="5" borderId="1" xfId="0" applyNumberFormat="1" applyFont="1" applyFill="1" applyBorder="1" applyAlignment="1">
      <alignment horizontal="right" wrapText="1"/>
    </xf>
    <xf numFmtId="0" fontId="0" fillId="10" borderId="1" xfId="0" applyFill="1" applyBorder="1"/>
    <xf numFmtId="164" fontId="0" fillId="10" borderId="1" xfId="0" applyNumberFormat="1" applyFill="1" applyBorder="1"/>
    <xf numFmtId="9" fontId="0" fillId="10" borderId="1" xfId="0" applyNumberFormat="1" applyFill="1" applyBorder="1"/>
    <xf numFmtId="0" fontId="9" fillId="10" borderId="1" xfId="0" applyFont="1" applyFill="1" applyBorder="1"/>
    <xf numFmtId="0" fontId="7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n-US" sz="1800" b="1"/>
              <a:t>Jahreskosten</a:t>
            </a:r>
          </a:p>
        </c:rich>
      </c:tx>
      <c:layout>
        <c:manualLayout>
          <c:xMode val="edge"/>
          <c:yMode val="edge"/>
          <c:x val="0.42131815008723894"/>
          <c:y val="2.4048096192384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08802953562387"/>
          <c:y val="0.12466518276597569"/>
          <c:w val="0.58115735813742919"/>
          <c:h val="0.66345710855573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'15000 kWh'!$A$52:$A$54</c:f>
              <c:strCache>
                <c:ptCount val="1"/>
                <c:pt idx="0">
                  <c:v>Kapitalkosten, Annuität gerechnet mit  3% Zins</c:v>
                </c:pt>
              </c:strCache>
            </c:strRef>
          </c:tx>
          <c:invertIfNegative val="0"/>
          <c:cat>
            <c:strRef>
              <c:f>'15000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kWh'!$D$54:$J$54</c:f>
              <c:numCache>
                <c:formatCode>0</c:formatCode>
                <c:ptCount val="7"/>
                <c:pt idx="0">
                  <c:v>1306.5</c:v>
                </c:pt>
                <c:pt idx="1">
                  <c:v>1507.5</c:v>
                </c:pt>
                <c:pt idx="2">
                  <c:v>1909.5000000000002</c:v>
                </c:pt>
                <c:pt idx="3">
                  <c:v>2127.5</c:v>
                </c:pt>
                <c:pt idx="4">
                  <c:v>2144</c:v>
                </c:pt>
                <c:pt idx="5">
                  <c:v>1876</c:v>
                </c:pt>
                <c:pt idx="6">
                  <c:v>790.5</c:v>
                </c:pt>
              </c:numCache>
            </c:numRef>
          </c:val>
        </c:ser>
        <c:ser>
          <c:idx val="1"/>
          <c:order val="1"/>
          <c:tx>
            <c:strRef>
              <c:f>'15000 kWh'!$A$55:$C$55</c:f>
              <c:strCache>
                <c:ptCount val="1"/>
                <c:pt idx="0">
                  <c:v>Betriebskosten</c:v>
                </c:pt>
              </c:strCache>
            </c:strRef>
          </c:tx>
          <c:invertIfNegative val="0"/>
          <c:cat>
            <c:strRef>
              <c:f>'15000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kWh'!$D$55:$J$55</c:f>
              <c:numCache>
                <c:formatCode>General</c:formatCode>
                <c:ptCount val="7"/>
                <c:pt idx="0">
                  <c:v>630</c:v>
                </c:pt>
                <c:pt idx="1">
                  <c:v>530</c:v>
                </c:pt>
                <c:pt idx="2">
                  <c:v>150</c:v>
                </c:pt>
                <c:pt idx="3">
                  <c:v>100</c:v>
                </c:pt>
                <c:pt idx="4">
                  <c:v>530</c:v>
                </c:pt>
                <c:pt idx="5">
                  <c:v>430</c:v>
                </c:pt>
                <c:pt idx="6">
                  <c:v>50</c:v>
                </c:pt>
              </c:numCache>
            </c:numRef>
          </c:val>
        </c:ser>
        <c:ser>
          <c:idx val="2"/>
          <c:order val="2"/>
          <c:tx>
            <c:strRef>
              <c:f>'15000 kWh'!$A$56:$C$56</c:f>
              <c:strCache>
                <c:ptCount val="1"/>
                <c:pt idx="0">
                  <c:v>Energiekosten (inkl. CO2)</c:v>
                </c:pt>
              </c:strCache>
            </c:strRef>
          </c:tx>
          <c:invertIfNegative val="0"/>
          <c:cat>
            <c:strRef>
              <c:f>'15000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kWh'!$D$56:$J$56</c:f>
              <c:numCache>
                <c:formatCode>0</c:formatCode>
                <c:ptCount val="7"/>
                <c:pt idx="0">
                  <c:v>1550</c:v>
                </c:pt>
                <c:pt idx="1">
                  <c:v>1582</c:v>
                </c:pt>
                <c:pt idx="2">
                  <c:v>943.07692307692298</c:v>
                </c:pt>
                <c:pt idx="3">
                  <c:v>686.66666666666674</c:v>
                </c:pt>
                <c:pt idx="4">
                  <c:v>1278</c:v>
                </c:pt>
                <c:pt idx="5">
                  <c:v>1370.7821229050278</c:v>
                </c:pt>
                <c:pt idx="6">
                  <c:v>1902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183528064"/>
        <c:axId val="183528448"/>
      </c:barChart>
      <c:catAx>
        <c:axId val="1835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3528448"/>
        <c:crosses val="autoZero"/>
        <c:auto val="1"/>
        <c:lblAlgn val="ctr"/>
        <c:lblOffset val="100"/>
        <c:noMultiLvlLbl val="0"/>
      </c:catAx>
      <c:valAx>
        <c:axId val="183528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Fr. por Jahr</a:t>
                </a:r>
              </a:p>
            </c:rich>
          </c:tx>
          <c:layout>
            <c:manualLayout>
              <c:xMode val="edge"/>
              <c:yMode val="edge"/>
              <c:x val="2.9411775880246575E-2"/>
              <c:y val="0.3633332287647311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352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25009622341099"/>
          <c:y val="0.34423976562047981"/>
          <c:w val="0.24974990377658901"/>
          <c:h val="0.2806179287709276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Wärmekosten 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80511538816106"/>
          <c:y val="0.13062499064109373"/>
          <c:w val="0.84051372400394697"/>
          <c:h val="0.7853277690555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'15000 kWh'!$A$61:$C$61</c:f>
              <c:strCache>
                <c:ptCount val="1"/>
                <c:pt idx="0">
                  <c:v>Wärmekosten [Rp./kWh]</c:v>
                </c:pt>
              </c:strCache>
            </c:strRef>
          </c:tx>
          <c:invertIfNegative val="0"/>
          <c:cat>
            <c:strRef>
              <c:f>'15000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kWh'!$D$61:$J$61</c:f>
              <c:numCache>
                <c:formatCode>General</c:formatCode>
                <c:ptCount val="7"/>
                <c:pt idx="0">
                  <c:v>21.8</c:v>
                </c:pt>
                <c:pt idx="1">
                  <c:v>22.6</c:v>
                </c:pt>
                <c:pt idx="2">
                  <c:v>18.8</c:v>
                </c:pt>
                <c:pt idx="3">
                  <c:v>18.2</c:v>
                </c:pt>
                <c:pt idx="4">
                  <c:v>24.7</c:v>
                </c:pt>
                <c:pt idx="5">
                  <c:v>23</c:v>
                </c:pt>
                <c:pt idx="6">
                  <c:v>17.100000000000001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55648"/>
        <c:axId val="196169728"/>
      </c:barChart>
      <c:catAx>
        <c:axId val="1961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169728"/>
        <c:crosses val="autoZero"/>
        <c:auto val="1"/>
        <c:lblAlgn val="ctr"/>
        <c:lblOffset val="100"/>
        <c:noMultiLvlLbl val="0"/>
      </c:catAx>
      <c:valAx>
        <c:axId val="196169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Rp. pro kWh</a:t>
                </a:r>
              </a:p>
            </c:rich>
          </c:tx>
          <c:layout>
            <c:manualLayout>
              <c:xMode val="edge"/>
              <c:yMode val="edge"/>
              <c:x val="2.1745012965816247E-2"/>
              <c:y val="0.392451724784401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155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Umweltbelastung</a:t>
            </a:r>
          </a:p>
        </c:rich>
      </c:tx>
      <c:layout>
        <c:manualLayout>
          <c:xMode val="edge"/>
          <c:yMode val="edge"/>
          <c:x val="0.39403211155913204"/>
          <c:y val="3.770001239974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49428529833515"/>
          <c:y val="0.14219393519457221"/>
          <c:w val="0.83945785050746757"/>
          <c:h val="0.7572143362331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'15000 kWh'!$A$64:$B$64</c:f>
              <c:strCache>
                <c:ptCount val="1"/>
                <c:pt idx="0">
                  <c:v>Umweltbelastung</c:v>
                </c:pt>
              </c:strCache>
            </c:strRef>
          </c:tx>
          <c:invertIfNegative val="0"/>
          <c:cat>
            <c:strRef>
              <c:f>'15000 kWh'!$D$64:$J$64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'15000 kWh'!$D$65:$J$65</c:f>
              <c:numCache>
                <c:formatCode>0.0</c:formatCode>
                <c:ptCount val="7"/>
                <c:pt idx="0">
                  <c:v>4.7631999999999994</c:v>
                </c:pt>
                <c:pt idx="1">
                  <c:v>3.6463999999999994</c:v>
                </c:pt>
                <c:pt idx="2">
                  <c:v>0.85538461538461541</c:v>
                </c:pt>
                <c:pt idx="3">
                  <c:v>0.61777777777777787</c:v>
                </c:pt>
                <c:pt idx="4">
                  <c:v>0.11008000000000001</c:v>
                </c:pt>
                <c:pt idx="5">
                  <c:v>9.8324022346368709E-2</c:v>
                </c:pt>
                <c:pt idx="6">
                  <c:v>7.3599999999999999E-2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196194304"/>
        <c:axId val="196195840"/>
      </c:barChart>
      <c:catAx>
        <c:axId val="196194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196195840"/>
        <c:crosses val="autoZero"/>
        <c:auto val="1"/>
        <c:lblAlgn val="ctr"/>
        <c:lblOffset val="100"/>
        <c:noMultiLvlLbl val="0"/>
      </c:catAx>
      <c:valAx>
        <c:axId val="196195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800"/>
                  <a:t>Tonnen CO</a:t>
                </a:r>
                <a:r>
                  <a:rPr lang="de-CH" sz="1800" baseline="-25000"/>
                  <a:t>2</a:t>
                </a:r>
                <a:r>
                  <a:rPr lang="de-CH" sz="1800"/>
                  <a:t> pro Jahr</a:t>
                </a:r>
              </a:p>
            </c:rich>
          </c:tx>
          <c:layout>
            <c:manualLayout>
              <c:xMode val="edge"/>
              <c:yMode val="edge"/>
              <c:x val="2.4838291355357842E-2"/>
              <c:y val="0.2497872618969692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9619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800" b="1"/>
              <a:t>Jahreskosten </a:t>
            </a:r>
          </a:p>
        </c:rich>
      </c:tx>
      <c:layout>
        <c:manualLayout>
          <c:xMode val="edge"/>
          <c:yMode val="edge"/>
          <c:x val="0.42082491765133578"/>
          <c:y val="2.57056504663045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19017883794186"/>
          <c:y val="0.14802241829206159"/>
          <c:w val="0.61659746144480831"/>
          <c:h val="0.66465162376242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'30000 kWh'!$A$53:$A$55</c:f>
              <c:strCache>
                <c:ptCount val="1"/>
                <c:pt idx="0">
                  <c:v>Kapitalkosten, Annuität gerechnet mit  3% Zins</c:v>
                </c:pt>
              </c:strCache>
            </c:strRef>
          </c:tx>
          <c:invertIfNegative val="0"/>
          <c:cat>
            <c:strRef>
              <c:f>'30000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 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kWh'!$D$55:$J$55</c:f>
              <c:numCache>
                <c:formatCode>0</c:formatCode>
                <c:ptCount val="7"/>
                <c:pt idx="0">
                  <c:v>1474</c:v>
                </c:pt>
                <c:pt idx="1">
                  <c:v>1842.5</c:v>
                </c:pt>
                <c:pt idx="2">
                  <c:v>2311.5</c:v>
                </c:pt>
                <c:pt idx="3">
                  <c:v>3317.4</c:v>
                </c:pt>
                <c:pt idx="4">
                  <c:v>2378.5</c:v>
                </c:pt>
                <c:pt idx="5">
                  <c:v>2110.5</c:v>
                </c:pt>
                <c:pt idx="6">
                  <c:v>790.5</c:v>
                </c:pt>
              </c:numCache>
            </c:numRef>
          </c:val>
        </c:ser>
        <c:ser>
          <c:idx val="1"/>
          <c:order val="1"/>
          <c:tx>
            <c:strRef>
              <c:f>'30000 kWh'!$A$56:$C$56</c:f>
              <c:strCache>
                <c:ptCount val="1"/>
                <c:pt idx="0">
                  <c:v>Betriebskosten</c:v>
                </c:pt>
              </c:strCache>
            </c:strRef>
          </c:tx>
          <c:invertIfNegative val="0"/>
          <c:cat>
            <c:strRef>
              <c:f>'30000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 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kWh'!$D$56:$J$56</c:f>
              <c:numCache>
                <c:formatCode>General</c:formatCode>
                <c:ptCount val="7"/>
                <c:pt idx="0">
                  <c:v>650</c:v>
                </c:pt>
                <c:pt idx="1">
                  <c:v>600</c:v>
                </c:pt>
                <c:pt idx="2">
                  <c:v>150</c:v>
                </c:pt>
                <c:pt idx="3">
                  <c:v>100</c:v>
                </c:pt>
                <c:pt idx="4">
                  <c:v>550</c:v>
                </c:pt>
                <c:pt idx="5">
                  <c:v>350</c:v>
                </c:pt>
                <c:pt idx="6">
                  <c:v>50</c:v>
                </c:pt>
              </c:numCache>
            </c:numRef>
          </c:val>
        </c:ser>
        <c:ser>
          <c:idx val="2"/>
          <c:order val="2"/>
          <c:tx>
            <c:strRef>
              <c:f>'30000 kWh'!$A$57:$C$57</c:f>
              <c:strCache>
                <c:ptCount val="1"/>
                <c:pt idx="0">
                  <c:v>Energiekosten (inkl. CO2)</c:v>
                </c:pt>
              </c:strCache>
            </c:strRef>
          </c:tx>
          <c:invertIfNegative val="0"/>
          <c:cat>
            <c:strRef>
              <c:f>'30000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 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kWh'!$D$57:$J$57</c:f>
              <c:numCache>
                <c:formatCode>0</c:formatCode>
                <c:ptCount val="7"/>
                <c:pt idx="0">
                  <c:v>3365</c:v>
                </c:pt>
                <c:pt idx="1">
                  <c:v>3190</c:v>
                </c:pt>
                <c:pt idx="2">
                  <c:v>2049.2307692307691</c:v>
                </c:pt>
                <c:pt idx="3">
                  <c:v>1488.3333333333335</c:v>
                </c:pt>
                <c:pt idx="4">
                  <c:v>2595</c:v>
                </c:pt>
                <c:pt idx="5">
                  <c:v>2665</c:v>
                </c:pt>
                <c:pt idx="6">
                  <c:v>4125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196289664"/>
        <c:axId val="196291200"/>
      </c:barChart>
      <c:catAx>
        <c:axId val="1962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291200"/>
        <c:crosses val="autoZero"/>
        <c:auto val="1"/>
        <c:lblAlgn val="ctr"/>
        <c:lblOffset val="100"/>
        <c:noMultiLvlLbl val="0"/>
      </c:catAx>
      <c:valAx>
        <c:axId val="196291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 b="1"/>
                  <a:t>Fr. pro Jahr</a:t>
                </a:r>
              </a:p>
            </c:rich>
          </c:tx>
          <c:layout>
            <c:manualLayout>
              <c:xMode val="edge"/>
              <c:yMode val="edge"/>
              <c:x val="2.8230025577944462E-2"/>
              <c:y val="0.3666649934379748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28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23703155488387"/>
          <c:y val="0.36564041073986131"/>
          <c:w val="0.22815273437905603"/>
          <c:h val="0.2699639250617694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Wärmekosten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23151503939189E-2"/>
          <c:y val="0.11103114132786916"/>
          <c:w val="0.88662416039220704"/>
          <c:h val="0.81306123568413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'30000 kWh'!$A$62:$C$62</c:f>
              <c:strCache>
                <c:ptCount val="1"/>
                <c:pt idx="0">
                  <c:v>Wärmekosten [Rp./kWh]</c:v>
                </c:pt>
              </c:strCache>
            </c:strRef>
          </c:tx>
          <c:invertIfNegative val="0"/>
          <c:cat>
            <c:strRef>
              <c:f>'30000 kWh'!$D$12:$J$12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 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kWh'!$D$62:$J$62</c:f>
              <c:numCache>
                <c:formatCode>General</c:formatCode>
                <c:ptCount val="7"/>
                <c:pt idx="0">
                  <c:v>15.7</c:v>
                </c:pt>
                <c:pt idx="1">
                  <c:v>16.100000000000001</c:v>
                </c:pt>
                <c:pt idx="2">
                  <c:v>12.9</c:v>
                </c:pt>
                <c:pt idx="3">
                  <c:v>14</c:v>
                </c:pt>
                <c:pt idx="4">
                  <c:v>15.8</c:v>
                </c:pt>
                <c:pt idx="5">
                  <c:v>14.6</c:v>
                </c:pt>
                <c:pt idx="6">
                  <c:v>14.2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316544"/>
        <c:axId val="196330624"/>
      </c:barChart>
      <c:catAx>
        <c:axId val="1963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330624"/>
        <c:crosses val="autoZero"/>
        <c:auto val="1"/>
        <c:lblAlgn val="ctr"/>
        <c:lblOffset val="100"/>
        <c:noMultiLvlLbl val="0"/>
      </c:catAx>
      <c:valAx>
        <c:axId val="196330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/>
                  <a:t>Rp. pro kWh</a:t>
                </a:r>
              </a:p>
            </c:rich>
          </c:tx>
          <c:layout>
            <c:manualLayout>
              <c:xMode val="edge"/>
              <c:yMode val="edge"/>
              <c:x val="2.1194330313995553E-2"/>
              <c:y val="0.38710980361438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316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Umweltbelastung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0010500014514"/>
          <c:y val="0.14259548682222214"/>
          <c:w val="0.87031215862260836"/>
          <c:h val="0.77250765098027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'30000 kWh'!$A$66:$B$66</c:f>
              <c:strCache>
                <c:ptCount val="1"/>
                <c:pt idx="0">
                  <c:v>Fossiles CO2  Tonnen / Jahr</c:v>
                </c:pt>
              </c:strCache>
            </c:strRef>
          </c:tx>
          <c:invertIfNegative val="0"/>
          <c:cat>
            <c:strRef>
              <c:f>'30000 kWh'!$D$65:$J$65</c:f>
              <c:strCache>
                <c:ptCount val="7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Stückholz</c:v>
                </c:pt>
                <c:pt idx="6">
                  <c:v>Fernwärme</c:v>
                </c:pt>
              </c:strCache>
            </c:strRef>
          </c:cat>
          <c:val>
            <c:numRef>
              <c:f>'30000 kWh'!$D$66:$J$66</c:f>
              <c:numCache>
                <c:formatCode>0.0</c:formatCode>
                <c:ptCount val="7"/>
                <c:pt idx="0">
                  <c:v>10.419499999999999</c:v>
                </c:pt>
                <c:pt idx="1">
                  <c:v>7.9764999999999997</c:v>
                </c:pt>
                <c:pt idx="2">
                  <c:v>1.8711538461538462</c:v>
                </c:pt>
                <c:pt idx="3">
                  <c:v>1.3513888888888892</c:v>
                </c:pt>
                <c:pt idx="4">
                  <c:v>0.24080000000000001</c:v>
                </c:pt>
                <c:pt idx="5">
                  <c:v>0.21508379888268156</c:v>
                </c:pt>
                <c:pt idx="6">
                  <c:v>0.161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78784"/>
        <c:axId val="196680320"/>
      </c:barChart>
      <c:catAx>
        <c:axId val="19667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6680320"/>
        <c:crosses val="autoZero"/>
        <c:auto val="1"/>
        <c:lblAlgn val="ctr"/>
        <c:lblOffset val="100"/>
        <c:noMultiLvlLbl val="0"/>
      </c:catAx>
      <c:valAx>
        <c:axId val="19668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Tonnen CO</a:t>
                </a:r>
                <a:r>
                  <a:rPr lang="en-US" sz="1800" baseline="-25000"/>
                  <a:t>2</a:t>
                </a:r>
                <a:r>
                  <a:rPr lang="en-US" sz="1800"/>
                  <a:t> pro Jahr</a:t>
                </a:r>
              </a:p>
            </c:rich>
          </c:tx>
          <c:layout>
            <c:manualLayout>
              <c:xMode val="edge"/>
              <c:yMode val="edge"/>
              <c:x val="2.4273071094176767E-2"/>
              <c:y val="0.2570702689403955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9667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/>
              <a:t>Jahreskosten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268626150490086"/>
          <c:y val="0.13081409344522213"/>
          <c:w val="0.59756464432102963"/>
          <c:h val="0.63987402473055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'60000 kWh'!$A$51:$A$53</c:f>
              <c:strCache>
                <c:ptCount val="1"/>
                <c:pt idx="0">
                  <c:v>Kapitalkosten, Annuität gerechnet mit  3% Zins</c:v>
                </c:pt>
              </c:strCache>
            </c:strRef>
          </c:tx>
          <c:invertIfNegative val="0"/>
          <c:cat>
            <c:strRef>
              <c:f>'60000 kWh'!$D$11:$I$11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kWh'!$D$53:$I$53</c:f>
              <c:numCache>
                <c:formatCode>0</c:formatCode>
                <c:ptCount val="6"/>
                <c:pt idx="0">
                  <c:v>1842.5</c:v>
                </c:pt>
                <c:pt idx="1">
                  <c:v>2144</c:v>
                </c:pt>
                <c:pt idx="2">
                  <c:v>3517.5</c:v>
                </c:pt>
                <c:pt idx="3">
                  <c:v>4582.75</c:v>
                </c:pt>
                <c:pt idx="4">
                  <c:v>2713.5</c:v>
                </c:pt>
                <c:pt idx="5">
                  <c:v>739.5</c:v>
                </c:pt>
              </c:numCache>
            </c:numRef>
          </c:val>
        </c:ser>
        <c:ser>
          <c:idx val="1"/>
          <c:order val="1"/>
          <c:tx>
            <c:strRef>
              <c:f>'60000 kWh'!$A$54:$C$54</c:f>
              <c:strCache>
                <c:ptCount val="1"/>
                <c:pt idx="0">
                  <c:v>Betriebskosten</c:v>
                </c:pt>
              </c:strCache>
            </c:strRef>
          </c:tx>
          <c:invertIfNegative val="0"/>
          <c:cat>
            <c:strRef>
              <c:f>'60000 kWh'!$D$11:$I$11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kWh'!$D$54:$I$54</c:f>
              <c:numCache>
                <c:formatCode>General</c:formatCode>
                <c:ptCount val="6"/>
                <c:pt idx="0">
                  <c:v>900</c:v>
                </c:pt>
                <c:pt idx="1">
                  <c:v>750</c:v>
                </c:pt>
                <c:pt idx="2">
                  <c:v>250</c:v>
                </c:pt>
                <c:pt idx="3">
                  <c:v>150</c:v>
                </c:pt>
                <c:pt idx="4">
                  <c:v>650</c:v>
                </c:pt>
                <c:pt idx="5">
                  <c:v>50</c:v>
                </c:pt>
              </c:numCache>
            </c:numRef>
          </c:val>
        </c:ser>
        <c:ser>
          <c:idx val="2"/>
          <c:order val="2"/>
          <c:tx>
            <c:strRef>
              <c:f>'60000 kWh'!$A$55:$C$55</c:f>
              <c:strCache>
                <c:ptCount val="1"/>
                <c:pt idx="0">
                  <c:v>Energiekosten (inkl. CO2)</c:v>
                </c:pt>
              </c:strCache>
            </c:strRef>
          </c:tx>
          <c:invertIfNegative val="0"/>
          <c:cat>
            <c:strRef>
              <c:f>'60000 kWh'!$D$11:$I$11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kWh'!$D$55:$I$55</c:f>
              <c:numCache>
                <c:formatCode>0</c:formatCode>
                <c:ptCount val="6"/>
                <c:pt idx="0">
                  <c:v>6700</c:v>
                </c:pt>
                <c:pt idx="1">
                  <c:v>6340</c:v>
                </c:pt>
                <c:pt idx="2">
                  <c:v>4078.4615384615381</c:v>
                </c:pt>
                <c:pt idx="3">
                  <c:v>2956.666666666667</c:v>
                </c:pt>
                <c:pt idx="4">
                  <c:v>5080</c:v>
                </c:pt>
                <c:pt idx="5">
                  <c:v>7600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196700800"/>
        <c:axId val="196485504"/>
      </c:barChart>
      <c:catAx>
        <c:axId val="1967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485504"/>
        <c:crosses val="autoZero"/>
        <c:auto val="1"/>
        <c:lblAlgn val="ctr"/>
        <c:lblOffset val="100"/>
        <c:noMultiLvlLbl val="0"/>
      </c:catAx>
      <c:valAx>
        <c:axId val="196485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800" b="1"/>
                  <a:t>Fr. pro Jahr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70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72262575319859"/>
          <c:y val="0.36387183347866037"/>
          <c:w val="0.25372869329007758"/>
          <c:h val="0.26897763813445758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/>
              <a:t>Wärmekosten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85729493450215"/>
          <c:y val="0.16655988807672795"/>
          <c:w val="0.86481926542564314"/>
          <c:h val="0.75754823484301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'60000 kWh'!$A$60:$C$60</c:f>
              <c:strCache>
                <c:ptCount val="1"/>
                <c:pt idx="0">
                  <c:v>Wärmekosten [Rp./kWh]</c:v>
                </c:pt>
              </c:strCache>
            </c:strRef>
          </c:tx>
          <c:invertIfNegative val="0"/>
          <c:cat>
            <c:strRef>
              <c:f>'60000 kWh'!$D$11:$I$11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kWh'!$D$60:$I$60</c:f>
              <c:numCache>
                <c:formatCode>General</c:formatCode>
                <c:ptCount val="6"/>
                <c:pt idx="0">
                  <c:v>13.5</c:v>
                </c:pt>
                <c:pt idx="1">
                  <c:v>13.2</c:v>
                </c:pt>
                <c:pt idx="2">
                  <c:v>11.2</c:v>
                </c:pt>
                <c:pt idx="3">
                  <c:v>11</c:v>
                </c:pt>
                <c:pt idx="4">
                  <c:v>12.1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22368"/>
        <c:axId val="196523904"/>
      </c:barChart>
      <c:catAx>
        <c:axId val="1965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523904"/>
        <c:crosses val="autoZero"/>
        <c:auto val="1"/>
        <c:lblAlgn val="ctr"/>
        <c:lblOffset val="100"/>
        <c:noMultiLvlLbl val="0"/>
      </c:catAx>
      <c:valAx>
        <c:axId val="1965239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800" b="1"/>
                  <a:t>Rp. pro kWh</a:t>
                </a:r>
              </a:p>
            </c:rich>
          </c:tx>
          <c:layout>
            <c:manualLayout>
              <c:xMode val="edge"/>
              <c:yMode val="edge"/>
              <c:x val="3.2122901064997975E-2"/>
              <c:y val="0.413321208362025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522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Umweltbelastung</a:t>
            </a:r>
          </a:p>
        </c:rich>
      </c:tx>
      <c:layout>
        <c:manualLayout>
          <c:xMode val="edge"/>
          <c:yMode val="edge"/>
          <c:x val="0.39149408676856567"/>
          <c:y val="3.2423666519270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61318511656633"/>
          <c:y val="0.15264270753444312"/>
          <c:w val="0.84985740311872782"/>
          <c:h val="0.76613064644110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'60000 kWh'!$A$64:$B$64</c:f>
              <c:strCache>
                <c:ptCount val="1"/>
                <c:pt idx="0">
                  <c:v>Fossiles CO2  Tonnen / Jahr</c:v>
                </c:pt>
              </c:strCache>
            </c:strRef>
          </c:tx>
          <c:invertIfNegative val="0"/>
          <c:cat>
            <c:strRef>
              <c:f>'60000 kWh'!$D$63:$I$63</c:f>
              <c:strCache>
                <c:ptCount val="6"/>
                <c:pt idx="0">
                  <c:v>Heizöl</c:v>
                </c:pt>
                <c:pt idx="1">
                  <c:v>Gas</c:v>
                </c:pt>
                <c:pt idx="2">
                  <c:v>WP Luft</c:v>
                </c:pt>
                <c:pt idx="3">
                  <c:v>WP Sonde</c:v>
                </c:pt>
                <c:pt idx="4">
                  <c:v>Pellets</c:v>
                </c:pt>
                <c:pt idx="5">
                  <c:v>Fernwärme</c:v>
                </c:pt>
              </c:strCache>
            </c:strRef>
          </c:cat>
          <c:val>
            <c:numRef>
              <c:f>'60000 kWh'!$D$64:$I$64</c:f>
              <c:numCache>
                <c:formatCode>0.0</c:formatCode>
                <c:ptCount val="6"/>
                <c:pt idx="0">
                  <c:v>20.838999999999999</c:v>
                </c:pt>
                <c:pt idx="1">
                  <c:v>15.952999999999999</c:v>
                </c:pt>
                <c:pt idx="2">
                  <c:v>3.7423076923076923</c:v>
                </c:pt>
                <c:pt idx="3">
                  <c:v>2.7027777777777784</c:v>
                </c:pt>
                <c:pt idx="4">
                  <c:v>0.48160000000000003</c:v>
                </c:pt>
                <c:pt idx="5">
                  <c:v>0.32200000000000001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48480"/>
        <c:axId val="196550016"/>
      </c:barChart>
      <c:catAx>
        <c:axId val="19654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550016"/>
        <c:crosses val="autoZero"/>
        <c:auto val="1"/>
        <c:lblAlgn val="ctr"/>
        <c:lblOffset val="100"/>
        <c:noMultiLvlLbl val="0"/>
      </c:catAx>
      <c:valAx>
        <c:axId val="196550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de-CH" sz="1800"/>
                  <a:t>Tonnen CO</a:t>
                </a:r>
                <a:r>
                  <a:rPr lang="de-CH" sz="1800" baseline="-25000"/>
                  <a:t>2</a:t>
                </a:r>
                <a:r>
                  <a:rPr lang="de-CH" sz="1800"/>
                  <a:t> pro Jahr</a:t>
                </a:r>
              </a:p>
            </c:rich>
          </c:tx>
          <c:layout>
            <c:manualLayout>
              <c:xMode val="edge"/>
              <c:yMode val="edge"/>
              <c:x val="2.8596078431372549E-2"/>
              <c:y val="0.2374265106109639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9654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68</xdr:row>
      <xdr:rowOff>123825</xdr:rowOff>
    </xdr:from>
    <xdr:to>
      <xdr:col>10</xdr:col>
      <xdr:colOff>390525</xdr:colOff>
      <xdr:row>95</xdr:row>
      <xdr:rowOff>19050</xdr:rowOff>
    </xdr:to>
    <xdr:graphicFrame macro="">
      <xdr:nvGraphicFramePr>
        <xdr:cNvPr id="116879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220756</xdr:colOff>
      <xdr:row>99</xdr:row>
      <xdr:rowOff>8964</xdr:rowOff>
    </xdr:from>
    <xdr:to>
      <xdr:col>10</xdr:col>
      <xdr:colOff>411256</xdr:colOff>
      <xdr:row>123</xdr:row>
      <xdr:rowOff>31749</xdr:rowOff>
    </xdr:to>
    <xdr:graphicFrame macro="">
      <xdr:nvGraphicFramePr>
        <xdr:cNvPr id="11688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127</xdr:row>
      <xdr:rowOff>136525</xdr:rowOff>
    </xdr:from>
    <xdr:to>
      <xdr:col>10</xdr:col>
      <xdr:colOff>317500</xdr:colOff>
      <xdr:row>148</xdr:row>
      <xdr:rowOff>116417</xdr:rowOff>
    </xdr:to>
    <xdr:graphicFrame macro="">
      <xdr:nvGraphicFramePr>
        <xdr:cNvPr id="3" name="Diagramm 2" title="Umweltbelastung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341964</xdr:colOff>
      <xdr:row>70</xdr:row>
      <xdr:rowOff>111126</xdr:rowOff>
    </xdr:from>
    <xdr:to>
      <xdr:col>10</xdr:col>
      <xdr:colOff>423334</xdr:colOff>
      <xdr:row>98</xdr:row>
      <xdr:rowOff>14008</xdr:rowOff>
    </xdr:to>
    <xdr:graphicFrame macro="">
      <xdr:nvGraphicFramePr>
        <xdr:cNvPr id="124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384547</xdr:colOff>
      <xdr:row>102</xdr:row>
      <xdr:rowOff>118903</xdr:rowOff>
    </xdr:from>
    <xdr:to>
      <xdr:col>10</xdr:col>
      <xdr:colOff>476250</xdr:colOff>
      <xdr:row>129</xdr:row>
      <xdr:rowOff>74082</xdr:rowOff>
    </xdr:to>
    <xdr:graphicFrame macro="">
      <xdr:nvGraphicFramePr>
        <xdr:cNvPr id="124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380999</xdr:colOff>
      <xdr:row>132</xdr:row>
      <xdr:rowOff>73023</xdr:rowOff>
    </xdr:from>
    <xdr:to>
      <xdr:col>10</xdr:col>
      <xdr:colOff>455083</xdr:colOff>
      <xdr:row>153</xdr:row>
      <xdr:rowOff>42332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67</xdr:row>
      <xdr:rowOff>135031</xdr:rowOff>
    </xdr:from>
    <xdr:to>
      <xdr:col>10</xdr:col>
      <xdr:colOff>67235</xdr:colOff>
      <xdr:row>94</xdr:row>
      <xdr:rowOff>137583</xdr:rowOff>
    </xdr:to>
    <xdr:graphicFrame macro="">
      <xdr:nvGraphicFramePr>
        <xdr:cNvPr id="46257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355226</xdr:colOff>
      <xdr:row>99</xdr:row>
      <xdr:rowOff>154640</xdr:rowOff>
    </xdr:from>
    <xdr:to>
      <xdr:col>10</xdr:col>
      <xdr:colOff>89646</xdr:colOff>
      <xdr:row>126</xdr:row>
      <xdr:rowOff>52915</xdr:rowOff>
    </xdr:to>
    <xdr:graphicFrame macro="">
      <xdr:nvGraphicFramePr>
        <xdr:cNvPr id="4625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359833</xdr:colOff>
      <xdr:row>128</xdr:row>
      <xdr:rowOff>125942</xdr:rowOff>
    </xdr:from>
    <xdr:to>
      <xdr:col>10</xdr:col>
      <xdr:colOff>84666</xdr:colOff>
      <xdr:row>150</xdr:row>
      <xdr:rowOff>84667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zoomScale="90" zoomScaleNormal="90" workbookViewId="0">
      <selection activeCell="S10" sqref="S10"/>
    </sheetView>
  </sheetViews>
  <sheetFormatPr baseColWidth="10" defaultRowHeight="14.25" x14ac:dyDescent="0.2"/>
  <cols>
    <col min="1" max="1" width="21.28515625" customWidth="1"/>
    <col min="3" max="3" width="19.28515625" customWidth="1"/>
    <col min="4" max="4" width="9.140625" customWidth="1"/>
    <col min="5" max="5" width="9.42578125" customWidth="1"/>
    <col min="6" max="6" width="9.140625" customWidth="1"/>
    <col min="7" max="7" width="10.28515625" customWidth="1"/>
    <col min="8" max="8" width="8.85546875" customWidth="1"/>
    <col min="9" max="9" width="11.85546875" style="12" customWidth="1"/>
    <col min="10" max="10" width="10.7109375" style="12" bestFit="1" customWidth="1"/>
    <col min="11" max="11" width="9.140625" customWidth="1"/>
    <col min="12" max="12" width="4.28515625" customWidth="1"/>
  </cols>
  <sheetData>
    <row r="1" spans="1:11" ht="18" x14ac:dyDescent="0.25">
      <c r="A1" s="2" t="s">
        <v>55</v>
      </c>
      <c r="E1" s="15" t="s">
        <v>54</v>
      </c>
    </row>
    <row r="2" spans="1:11" ht="5.85" customHeight="1" x14ac:dyDescent="0.2"/>
    <row r="3" spans="1:11" x14ac:dyDescent="0.2">
      <c r="A3" s="3" t="s">
        <v>0</v>
      </c>
      <c r="B3" s="4">
        <v>16000</v>
      </c>
      <c r="C3" s="3" t="s">
        <v>1</v>
      </c>
      <c r="D3" s="3"/>
      <c r="E3" s="3"/>
      <c r="F3" s="3"/>
      <c r="G3" s="14" t="s">
        <v>23</v>
      </c>
      <c r="H3" s="18">
        <v>190</v>
      </c>
      <c r="I3" s="3" t="s">
        <v>21</v>
      </c>
      <c r="J3" s="3"/>
    </row>
    <row r="4" spans="1:11" x14ac:dyDescent="0.2">
      <c r="A4" s="3" t="s">
        <v>35</v>
      </c>
      <c r="B4" s="10">
        <f>B3/3.6</f>
        <v>4444.4444444444443</v>
      </c>
      <c r="C4" s="3" t="s">
        <v>31</v>
      </c>
      <c r="D4" s="3"/>
      <c r="E4" s="3"/>
      <c r="F4" s="3"/>
      <c r="G4" s="14" t="s">
        <v>47</v>
      </c>
      <c r="H4" s="7">
        <f>(3/4*B3/85)</f>
        <v>141.1764705882353</v>
      </c>
      <c r="I4" s="3" t="s">
        <v>57</v>
      </c>
      <c r="K4" s="3"/>
    </row>
    <row r="5" spans="1:11" x14ac:dyDescent="0.2">
      <c r="A5" s="3"/>
      <c r="B5" s="5">
        <f>B3/10</f>
        <v>1600</v>
      </c>
      <c r="C5" s="3" t="s">
        <v>27</v>
      </c>
      <c r="D5" s="3"/>
      <c r="E5" s="3"/>
      <c r="F5" s="3"/>
      <c r="G5" s="14" t="s">
        <v>48</v>
      </c>
      <c r="H5" s="7">
        <f>B3/H3</f>
        <v>84.21052631578948</v>
      </c>
      <c r="I5" s="3" t="s">
        <v>28</v>
      </c>
      <c r="J5" s="11"/>
    </row>
    <row r="6" spans="1:11" x14ac:dyDescent="0.2">
      <c r="A6" s="3"/>
      <c r="B6" s="6">
        <f>B3/5000</f>
        <v>3.2</v>
      </c>
      <c r="C6" s="3" t="s">
        <v>3</v>
      </c>
      <c r="D6" s="3"/>
      <c r="E6" s="3"/>
      <c r="F6" s="3"/>
      <c r="G6" s="3"/>
      <c r="H6" s="3"/>
      <c r="K6" s="3"/>
    </row>
    <row r="7" spans="1:11" x14ac:dyDescent="0.2">
      <c r="A7" s="3"/>
      <c r="B7" s="5">
        <f>B3/2.6</f>
        <v>6153.8461538461534</v>
      </c>
      <c r="C7" s="3" t="s">
        <v>32</v>
      </c>
      <c r="D7" s="3"/>
      <c r="E7" s="3"/>
      <c r="F7" s="3"/>
      <c r="G7" s="3"/>
      <c r="H7" s="3"/>
      <c r="K7" s="3"/>
    </row>
    <row r="8" spans="1:11" x14ac:dyDescent="0.2">
      <c r="A8" s="3"/>
      <c r="B8" s="5">
        <f>B3/10</f>
        <v>1600</v>
      </c>
      <c r="C8" s="3" t="s">
        <v>2</v>
      </c>
      <c r="D8" s="3"/>
      <c r="E8" s="3"/>
      <c r="F8" s="3"/>
      <c r="G8" s="3"/>
      <c r="H8" s="3"/>
      <c r="K8" s="3"/>
    </row>
    <row r="9" spans="1:11" x14ac:dyDescent="0.2">
      <c r="A9" s="3"/>
      <c r="B9" s="5">
        <f>B3*0.9</f>
        <v>14400</v>
      </c>
      <c r="C9" s="3" t="s">
        <v>37</v>
      </c>
      <c r="D9" s="3"/>
      <c r="E9" s="3"/>
      <c r="F9" s="3"/>
      <c r="G9" s="3" t="s">
        <v>87</v>
      </c>
      <c r="H9" s="3"/>
      <c r="K9" s="3"/>
    </row>
    <row r="10" spans="1:11" x14ac:dyDescent="0.2">
      <c r="A10" s="3"/>
      <c r="B10" s="5">
        <f>B3/1790</f>
        <v>8.938547486033519</v>
      </c>
      <c r="C10" s="3" t="s">
        <v>45</v>
      </c>
      <c r="D10" s="3"/>
      <c r="E10" s="3"/>
      <c r="F10" s="3"/>
      <c r="G10" s="3"/>
      <c r="H10" s="3"/>
      <c r="K10" s="3"/>
    </row>
    <row r="11" spans="1:11" x14ac:dyDescent="0.2">
      <c r="A11" s="3"/>
      <c r="B11" s="5"/>
      <c r="C11" s="3"/>
      <c r="D11" s="3"/>
      <c r="E11" s="3"/>
      <c r="F11" s="3"/>
      <c r="G11" s="3"/>
      <c r="H11" s="3"/>
      <c r="K11" s="3"/>
    </row>
    <row r="12" spans="1:11" ht="36" customHeight="1" x14ac:dyDescent="0.2">
      <c r="A12" s="90" t="s">
        <v>4</v>
      </c>
      <c r="B12" s="91"/>
      <c r="C12" s="92"/>
      <c r="D12" s="50" t="s">
        <v>6</v>
      </c>
      <c r="E12" s="50" t="s">
        <v>25</v>
      </c>
      <c r="F12" s="50" t="s">
        <v>34</v>
      </c>
      <c r="G12" s="50" t="s">
        <v>33</v>
      </c>
      <c r="H12" s="50" t="s">
        <v>5</v>
      </c>
      <c r="I12" s="50" t="s">
        <v>41</v>
      </c>
      <c r="J12" s="50" t="s">
        <v>36</v>
      </c>
      <c r="K12" s="50" t="s">
        <v>40</v>
      </c>
    </row>
    <row r="13" spans="1:11" ht="15" x14ac:dyDescent="0.2">
      <c r="A13" s="43" t="s">
        <v>59</v>
      </c>
      <c r="B13" s="43"/>
      <c r="C13" s="43"/>
      <c r="D13" s="43">
        <v>0</v>
      </c>
      <c r="E13" s="43">
        <v>5000</v>
      </c>
      <c r="F13" s="43">
        <v>0</v>
      </c>
      <c r="G13" s="43">
        <v>0</v>
      </c>
      <c r="H13" s="43">
        <v>5000</v>
      </c>
      <c r="I13" s="43">
        <v>0</v>
      </c>
      <c r="J13" s="43">
        <v>8000</v>
      </c>
      <c r="K13" s="52"/>
    </row>
    <row r="14" spans="1:11" ht="15" x14ac:dyDescent="0.2">
      <c r="A14" s="43" t="s">
        <v>50</v>
      </c>
      <c r="B14" s="43"/>
      <c r="C14" s="43"/>
      <c r="D14" s="43">
        <v>2500</v>
      </c>
      <c r="E14" s="43">
        <v>2500</v>
      </c>
      <c r="F14" s="43">
        <v>2500</v>
      </c>
      <c r="G14" s="43">
        <v>2500</v>
      </c>
      <c r="H14" s="43">
        <v>2500</v>
      </c>
      <c r="I14" s="43">
        <v>2500</v>
      </c>
      <c r="J14" s="43">
        <v>2500</v>
      </c>
      <c r="K14" s="52"/>
    </row>
    <row r="15" spans="1:11" x14ac:dyDescent="0.2">
      <c r="A15" s="43" t="s">
        <v>61</v>
      </c>
      <c r="B15" s="43"/>
      <c r="C15" s="43"/>
      <c r="D15" s="43">
        <v>8000</v>
      </c>
      <c r="E15" s="43">
        <v>5000</v>
      </c>
      <c r="F15" s="43">
        <v>13000</v>
      </c>
      <c r="G15" s="43">
        <v>14000</v>
      </c>
      <c r="H15" s="43">
        <v>15000</v>
      </c>
      <c r="I15" s="43">
        <v>15000</v>
      </c>
      <c r="J15" s="43">
        <v>8000</v>
      </c>
      <c r="K15" s="43">
        <v>16000</v>
      </c>
    </row>
    <row r="16" spans="1:11" x14ac:dyDescent="0.2">
      <c r="A16" s="43" t="s">
        <v>58</v>
      </c>
      <c r="B16" s="43"/>
      <c r="C16" s="43"/>
      <c r="D16" s="43">
        <v>0</v>
      </c>
      <c r="E16" s="43">
        <v>0</v>
      </c>
      <c r="F16" s="43">
        <v>4000</v>
      </c>
      <c r="G16" s="43">
        <f>ROUND(H4/10,0)*1000</f>
        <v>14000</v>
      </c>
      <c r="H16" s="43">
        <v>0</v>
      </c>
      <c r="I16" s="43">
        <v>0</v>
      </c>
      <c r="J16" s="43">
        <v>0</v>
      </c>
      <c r="K16" s="43"/>
    </row>
    <row r="17" spans="1:11" x14ac:dyDescent="0.2">
      <c r="A17" s="43" t="s">
        <v>51</v>
      </c>
      <c r="B17" s="43"/>
      <c r="C17" s="43"/>
      <c r="D17" s="43">
        <v>0</v>
      </c>
      <c r="E17" s="43">
        <v>0</v>
      </c>
      <c r="F17" s="43">
        <v>0</v>
      </c>
      <c r="G17" s="43">
        <v>0</v>
      </c>
      <c r="H17" s="43">
        <v>2000</v>
      </c>
      <c r="I17" s="43">
        <v>0</v>
      </c>
      <c r="J17" s="43">
        <v>0</v>
      </c>
      <c r="K17" s="43"/>
    </row>
    <row r="18" spans="1:11" x14ac:dyDescent="0.2">
      <c r="A18" s="43" t="s">
        <v>53</v>
      </c>
      <c r="B18" s="43"/>
      <c r="C18" s="43"/>
      <c r="D18" s="43">
        <v>4000</v>
      </c>
      <c r="E18" s="43">
        <v>3000</v>
      </c>
      <c r="F18" s="43">
        <v>7000</v>
      </c>
      <c r="G18" s="43">
        <v>7000</v>
      </c>
      <c r="H18" s="43">
        <v>4000</v>
      </c>
      <c r="I18" s="43">
        <v>7000</v>
      </c>
      <c r="J18" s="43">
        <v>0</v>
      </c>
      <c r="K18" s="43"/>
    </row>
    <row r="19" spans="1:11" x14ac:dyDescent="0.2">
      <c r="A19" s="43" t="s">
        <v>49</v>
      </c>
      <c r="B19" s="43"/>
      <c r="C19" s="43"/>
      <c r="D19" s="43">
        <v>500</v>
      </c>
      <c r="E19" s="43">
        <v>500</v>
      </c>
      <c r="F19" s="43">
        <v>500</v>
      </c>
      <c r="G19" s="43">
        <v>500</v>
      </c>
      <c r="H19" s="43">
        <v>500</v>
      </c>
      <c r="I19" s="43">
        <v>500</v>
      </c>
      <c r="J19" s="43">
        <v>500</v>
      </c>
      <c r="K19" s="43"/>
    </row>
    <row r="20" spans="1:11" x14ac:dyDescent="0.2">
      <c r="A20" s="43" t="s">
        <v>86</v>
      </c>
      <c r="B20" s="43"/>
      <c r="C20" s="43"/>
      <c r="D20" s="43">
        <v>0</v>
      </c>
      <c r="E20" s="43">
        <v>3000</v>
      </c>
      <c r="F20" s="43">
        <v>0</v>
      </c>
      <c r="G20" s="43">
        <v>0</v>
      </c>
      <c r="H20" s="43">
        <v>4000</v>
      </c>
      <c r="I20" s="43">
        <v>4000</v>
      </c>
      <c r="J20" s="43">
        <v>0</v>
      </c>
      <c r="K20" s="43"/>
    </row>
    <row r="21" spans="1:11" x14ac:dyDescent="0.2">
      <c r="A21" s="43" t="s">
        <v>7</v>
      </c>
      <c r="B21" s="43"/>
      <c r="C21" s="43"/>
      <c r="D21" s="43">
        <v>2500</v>
      </c>
      <c r="E21" s="43">
        <v>2500</v>
      </c>
      <c r="F21" s="43">
        <v>3000</v>
      </c>
      <c r="G21" s="43">
        <v>3000</v>
      </c>
      <c r="H21" s="43">
        <v>4000</v>
      </c>
      <c r="I21" s="43">
        <v>4000</v>
      </c>
      <c r="J21" s="43">
        <v>2500</v>
      </c>
      <c r="K21" s="43"/>
    </row>
    <row r="22" spans="1:11" x14ac:dyDescent="0.2">
      <c r="A22" s="43" t="s">
        <v>8</v>
      </c>
      <c r="B22" s="43"/>
      <c r="C22" s="43"/>
      <c r="D22" s="43">
        <v>2000</v>
      </c>
      <c r="E22" s="43">
        <v>1000</v>
      </c>
      <c r="F22" s="43">
        <v>2000</v>
      </c>
      <c r="G22" s="43">
        <v>3000</v>
      </c>
      <c r="H22" s="43">
        <v>2000</v>
      </c>
      <c r="I22" s="43">
        <v>2000</v>
      </c>
      <c r="J22" s="43">
        <v>1000</v>
      </c>
      <c r="K22" s="43"/>
    </row>
    <row r="23" spans="1:11" ht="6.6" customHeight="1" x14ac:dyDescent="0.2">
      <c r="A23" s="43"/>
      <c r="B23" s="43"/>
      <c r="C23" s="43"/>
      <c r="D23" s="43"/>
      <c r="E23" s="43"/>
      <c r="F23" s="43"/>
      <c r="G23" s="43"/>
      <c r="H23" s="43"/>
      <c r="I23" s="51"/>
      <c r="J23" s="44"/>
      <c r="K23" s="43"/>
    </row>
    <row r="24" spans="1:11" x14ac:dyDescent="0.2">
      <c r="A24" s="43" t="s">
        <v>13</v>
      </c>
      <c r="B24" s="43"/>
      <c r="C24" s="43"/>
      <c r="D24" s="43">
        <f t="shared" ref="D24:K24" si="0">SUM(D13:D22)</f>
        <v>19500</v>
      </c>
      <c r="E24" s="43">
        <f t="shared" si="0"/>
        <v>22500</v>
      </c>
      <c r="F24" s="43">
        <f>SUM(F13:F22)</f>
        <v>32000</v>
      </c>
      <c r="G24" s="43">
        <f t="shared" si="0"/>
        <v>44000</v>
      </c>
      <c r="H24" s="43">
        <f t="shared" si="0"/>
        <v>39000</v>
      </c>
      <c r="I24" s="43">
        <f t="shared" si="0"/>
        <v>35000</v>
      </c>
      <c r="J24" s="43">
        <f t="shared" si="0"/>
        <v>22500</v>
      </c>
      <c r="K24" s="43">
        <f t="shared" si="0"/>
        <v>16000</v>
      </c>
    </row>
    <row r="25" spans="1:11" x14ac:dyDescent="0.2">
      <c r="A25" s="43" t="s">
        <v>63</v>
      </c>
      <c r="B25" s="43"/>
      <c r="C25" s="43"/>
      <c r="D25" s="43">
        <v>0</v>
      </c>
      <c r="E25" s="43">
        <v>0</v>
      </c>
      <c r="F25" s="43">
        <v>3500</v>
      </c>
      <c r="G25" s="43">
        <v>7000</v>
      </c>
      <c r="H25" s="43">
        <v>7000</v>
      </c>
      <c r="I25" s="43">
        <v>7000</v>
      </c>
      <c r="J25" s="43">
        <v>7000</v>
      </c>
      <c r="K25" s="43">
        <v>2800</v>
      </c>
    </row>
    <row r="26" spans="1:11" x14ac:dyDescent="0.2">
      <c r="A26" s="43" t="s">
        <v>74</v>
      </c>
      <c r="B26" s="43"/>
      <c r="C26" s="43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</row>
    <row r="27" spans="1:11" ht="6.75" customHeight="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s="1" customFormat="1" ht="15.75" customHeight="1" x14ac:dyDescent="0.25">
      <c r="A28" s="55" t="s">
        <v>38</v>
      </c>
      <c r="B28" s="55"/>
      <c r="C28" s="55"/>
      <c r="D28" s="55">
        <f t="shared" ref="D28:I28" si="1">D24-D25-D26</f>
        <v>19500</v>
      </c>
      <c r="E28" s="55">
        <f t="shared" si="1"/>
        <v>22500</v>
      </c>
      <c r="F28" s="55">
        <f t="shared" si="1"/>
        <v>28500</v>
      </c>
      <c r="G28" s="55">
        <f t="shared" si="1"/>
        <v>37000</v>
      </c>
      <c r="H28" s="55">
        <f t="shared" si="1"/>
        <v>32000</v>
      </c>
      <c r="I28" s="55">
        <f t="shared" si="1"/>
        <v>28000</v>
      </c>
      <c r="J28" s="55">
        <f t="shared" ref="J28" si="2">J24-J25-J26</f>
        <v>15500</v>
      </c>
      <c r="K28" s="55">
        <f>K24-K25-K26</f>
        <v>13200</v>
      </c>
    </row>
    <row r="29" spans="1:11" ht="20.25" customHeight="1" x14ac:dyDescent="0.2">
      <c r="A29" s="3"/>
      <c r="B29" s="3"/>
      <c r="C29" s="3"/>
      <c r="D29" s="3"/>
      <c r="E29" s="3"/>
      <c r="F29" s="3"/>
      <c r="G29" s="3"/>
      <c r="H29" s="3"/>
      <c r="I29"/>
      <c r="J29" s="3"/>
      <c r="K29" s="3"/>
    </row>
    <row r="30" spans="1:11" ht="33.75" x14ac:dyDescent="0.2">
      <c r="A30" s="87" t="s">
        <v>9</v>
      </c>
      <c r="B30" s="88"/>
      <c r="C30" s="89"/>
      <c r="D30" s="48" t="s">
        <v>6</v>
      </c>
      <c r="E30" s="48" t="s">
        <v>25</v>
      </c>
      <c r="F30" s="48" t="s">
        <v>34</v>
      </c>
      <c r="G30" s="48" t="s">
        <v>33</v>
      </c>
      <c r="H30" s="48" t="s">
        <v>5</v>
      </c>
      <c r="I30" s="48" t="s">
        <v>41</v>
      </c>
      <c r="J30" s="48" t="s">
        <v>36</v>
      </c>
      <c r="K30" s="48" t="s">
        <v>40</v>
      </c>
    </row>
    <row r="31" spans="1:11" x14ac:dyDescent="0.2">
      <c r="A31" s="47" t="s">
        <v>10</v>
      </c>
      <c r="B31" s="47"/>
      <c r="C31" s="47"/>
      <c r="D31" s="47">
        <v>150</v>
      </c>
      <c r="E31" s="47">
        <v>100</v>
      </c>
      <c r="F31" s="47">
        <v>0</v>
      </c>
      <c r="G31" s="47">
        <v>0</v>
      </c>
      <c r="H31" s="47">
        <v>150</v>
      </c>
      <c r="I31" s="47">
        <v>150</v>
      </c>
      <c r="J31" s="49">
        <v>0</v>
      </c>
      <c r="K31" s="47">
        <v>0</v>
      </c>
    </row>
    <row r="32" spans="1:11" x14ac:dyDescent="0.2">
      <c r="A32" s="47" t="s">
        <v>79</v>
      </c>
      <c r="B32" s="47"/>
      <c r="C32" s="47"/>
      <c r="D32" s="47">
        <v>100</v>
      </c>
      <c r="E32" s="47">
        <v>250</v>
      </c>
      <c r="F32" s="47">
        <v>0</v>
      </c>
      <c r="G32" s="47">
        <v>0</v>
      </c>
      <c r="H32" s="47">
        <v>0</v>
      </c>
      <c r="I32" s="47">
        <v>0</v>
      </c>
      <c r="J32" s="49">
        <v>0</v>
      </c>
      <c r="K32" s="47">
        <v>0</v>
      </c>
    </row>
    <row r="33" spans="1:18" x14ac:dyDescent="0.2">
      <c r="A33" s="47" t="s">
        <v>11</v>
      </c>
      <c r="B33" s="47"/>
      <c r="C33" s="47"/>
      <c r="D33" s="47">
        <v>30</v>
      </c>
      <c r="E33" s="47">
        <v>30</v>
      </c>
      <c r="F33" s="47">
        <v>0</v>
      </c>
      <c r="G33" s="47">
        <v>0</v>
      </c>
      <c r="H33" s="47">
        <v>30</v>
      </c>
      <c r="I33" s="47">
        <v>30</v>
      </c>
      <c r="J33" s="49">
        <v>0</v>
      </c>
      <c r="K33" s="47">
        <v>0</v>
      </c>
    </row>
    <row r="34" spans="1:18" x14ac:dyDescent="0.2">
      <c r="A34" s="47" t="s">
        <v>80</v>
      </c>
      <c r="B34" s="47"/>
      <c r="C34" s="47"/>
      <c r="D34" s="47">
        <v>350</v>
      </c>
      <c r="E34" s="47">
        <v>150</v>
      </c>
      <c r="F34" s="47">
        <v>150</v>
      </c>
      <c r="G34" s="47">
        <v>100</v>
      </c>
      <c r="H34" s="47">
        <v>350</v>
      </c>
      <c r="I34" s="47">
        <v>250</v>
      </c>
      <c r="J34" s="47">
        <v>50</v>
      </c>
      <c r="K34" s="47">
        <v>20</v>
      </c>
    </row>
    <row r="35" spans="1:18" ht="8.25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9"/>
      <c r="K35" s="47"/>
    </row>
    <row r="36" spans="1:18" s="1" customFormat="1" ht="15" x14ac:dyDescent="0.25">
      <c r="A36" s="56" t="s">
        <v>12</v>
      </c>
      <c r="B36" s="56"/>
      <c r="C36" s="56"/>
      <c r="D36" s="56">
        <f>SUM(D31:D34)</f>
        <v>630</v>
      </c>
      <c r="E36" s="56">
        <f t="shared" ref="E36:J36" si="3">SUM(E31:E34)</f>
        <v>530</v>
      </c>
      <c r="F36" s="56">
        <f>SUM(F31:F34)</f>
        <v>150</v>
      </c>
      <c r="G36" s="56">
        <f>SUM(G31:G34)</f>
        <v>100</v>
      </c>
      <c r="H36" s="56">
        <f>SUM(H31:H34)</f>
        <v>530</v>
      </c>
      <c r="I36" s="56">
        <f>SUM(I31:I34)</f>
        <v>430</v>
      </c>
      <c r="J36" s="56">
        <f t="shared" si="3"/>
        <v>50</v>
      </c>
      <c r="K36" s="56">
        <f>SUM(K31:K34)</f>
        <v>20</v>
      </c>
    </row>
    <row r="37" spans="1:18" x14ac:dyDescent="0.2">
      <c r="A37" s="8"/>
      <c r="B37" s="8"/>
      <c r="C37" s="8"/>
      <c r="D37" s="8"/>
      <c r="E37" s="8"/>
      <c r="F37" s="8"/>
      <c r="G37" s="8"/>
      <c r="H37" s="8"/>
      <c r="I37" s="8"/>
      <c r="J37" s="13"/>
      <c r="K37" s="8"/>
    </row>
    <row r="38" spans="1:18" ht="9.75" customHeight="1" x14ac:dyDescent="0.2">
      <c r="A38" s="3"/>
      <c r="B38" s="3"/>
      <c r="C38" s="3"/>
      <c r="D38" s="3"/>
      <c r="E38" s="3"/>
      <c r="F38" s="3"/>
      <c r="G38" s="3"/>
      <c r="H38" s="3"/>
      <c r="I38"/>
      <c r="K38" s="3"/>
    </row>
    <row r="39" spans="1:18" ht="33.75" x14ac:dyDescent="0.2">
      <c r="A39" s="102" t="s">
        <v>20</v>
      </c>
      <c r="B39" s="103"/>
      <c r="C39" s="104"/>
      <c r="D39" s="46" t="s">
        <v>6</v>
      </c>
      <c r="E39" s="46" t="s">
        <v>25</v>
      </c>
      <c r="F39" s="46" t="s">
        <v>34</v>
      </c>
      <c r="G39" s="46" t="s">
        <v>33</v>
      </c>
      <c r="H39" s="46" t="s">
        <v>5</v>
      </c>
      <c r="I39" s="46" t="s">
        <v>41</v>
      </c>
      <c r="J39" s="46" t="s">
        <v>36</v>
      </c>
      <c r="K39" s="46" t="s">
        <v>40</v>
      </c>
    </row>
    <row r="40" spans="1:18" x14ac:dyDescent="0.2">
      <c r="A40" s="24" t="s">
        <v>30</v>
      </c>
      <c r="B40" s="64">
        <v>15</v>
      </c>
      <c r="C40" s="24" t="s">
        <v>24</v>
      </c>
      <c r="D40" s="24"/>
      <c r="E40" s="24"/>
      <c r="F40" s="24"/>
      <c r="G40" s="25">
        <f>B3/3.6*B40/100</f>
        <v>666.66666666666674</v>
      </c>
      <c r="H40" s="24"/>
      <c r="I40" s="26"/>
      <c r="J40" s="27"/>
      <c r="K40" s="24"/>
    </row>
    <row r="41" spans="1:18" x14ac:dyDescent="0.2">
      <c r="A41" s="24" t="s">
        <v>25</v>
      </c>
      <c r="B41" s="64">
        <v>97</v>
      </c>
      <c r="C41" s="24" t="s">
        <v>26</v>
      </c>
      <c r="D41" s="24"/>
      <c r="E41" s="25">
        <f>B5*B41/100</f>
        <v>1552</v>
      </c>
      <c r="F41" s="24"/>
      <c r="G41" s="24"/>
      <c r="H41" s="24"/>
      <c r="I41" s="26"/>
      <c r="J41" s="27"/>
      <c r="K41" s="24"/>
    </row>
    <row r="42" spans="1:18" x14ac:dyDescent="0.2">
      <c r="A42" s="24" t="s">
        <v>5</v>
      </c>
      <c r="B42" s="64">
        <v>390</v>
      </c>
      <c r="C42" s="24" t="s">
        <v>16</v>
      </c>
      <c r="D42" s="24"/>
      <c r="E42" s="24"/>
      <c r="F42" s="24"/>
      <c r="G42" s="24"/>
      <c r="H42" s="24">
        <f>B6*B42</f>
        <v>1248</v>
      </c>
      <c r="I42" s="26"/>
      <c r="J42" s="27"/>
      <c r="K42" s="24"/>
    </row>
    <row r="43" spans="1:18" x14ac:dyDescent="0.2">
      <c r="A43" s="24" t="s">
        <v>29</v>
      </c>
      <c r="B43" s="64">
        <v>15</v>
      </c>
      <c r="C43" s="24" t="s">
        <v>24</v>
      </c>
      <c r="D43" s="24"/>
      <c r="E43" s="24"/>
      <c r="F43" s="25">
        <f>B3/2.6*B43/100</f>
        <v>923.07692307692298</v>
      </c>
      <c r="G43" s="24"/>
      <c r="H43" s="24"/>
      <c r="I43" s="26"/>
      <c r="J43" s="27"/>
      <c r="K43" s="24"/>
    </row>
    <row r="44" spans="1:18" x14ac:dyDescent="0.2">
      <c r="A44" s="24" t="s">
        <v>14</v>
      </c>
      <c r="B44" s="64">
        <v>95</v>
      </c>
      <c r="C44" s="24" t="s">
        <v>17</v>
      </c>
      <c r="D44" s="25">
        <f>B8*B44/100</f>
        <v>1520</v>
      </c>
      <c r="E44" s="24"/>
      <c r="F44" s="24"/>
      <c r="G44" s="24"/>
      <c r="H44" s="24"/>
      <c r="I44" s="26"/>
      <c r="J44" s="27"/>
      <c r="K44" s="24"/>
    </row>
    <row r="45" spans="1:18" x14ac:dyDescent="0.2">
      <c r="A45" s="24" t="s">
        <v>36</v>
      </c>
      <c r="B45" s="64">
        <v>13</v>
      </c>
      <c r="C45" s="24" t="s">
        <v>24</v>
      </c>
      <c r="D45" s="25"/>
      <c r="E45" s="24"/>
      <c r="F45" s="24"/>
      <c r="G45" s="24"/>
      <c r="H45" s="24"/>
      <c r="I45" s="26"/>
      <c r="J45" s="27">
        <f>B9*B45/100</f>
        <v>1872</v>
      </c>
      <c r="K45" s="24"/>
    </row>
    <row r="46" spans="1:18" x14ac:dyDescent="0.2">
      <c r="A46" s="24" t="s">
        <v>41</v>
      </c>
      <c r="B46" s="64">
        <v>150</v>
      </c>
      <c r="C46" s="24" t="s">
        <v>46</v>
      </c>
      <c r="D46" s="25"/>
      <c r="E46" s="24"/>
      <c r="F46" s="24"/>
      <c r="G46" s="24"/>
      <c r="H46" s="24"/>
      <c r="I46" s="25">
        <f>B46*B10</f>
        <v>1340.7821229050278</v>
      </c>
      <c r="J46" s="27"/>
      <c r="K46" s="24"/>
    </row>
    <row r="47" spans="1:18" x14ac:dyDescent="0.2">
      <c r="A47" s="99" t="s">
        <v>15</v>
      </c>
      <c r="B47" s="100"/>
      <c r="C47" s="101"/>
      <c r="D47" s="24">
        <v>30</v>
      </c>
      <c r="E47" s="24">
        <v>30</v>
      </c>
      <c r="F47" s="24">
        <v>20</v>
      </c>
      <c r="G47" s="24">
        <v>20</v>
      </c>
      <c r="H47" s="24">
        <v>30</v>
      </c>
      <c r="I47" s="24">
        <v>30</v>
      </c>
      <c r="J47" s="24">
        <v>30</v>
      </c>
      <c r="K47" s="24">
        <v>20</v>
      </c>
    </row>
    <row r="48" spans="1:18" s="23" customFormat="1" ht="15" x14ac:dyDescent="0.25">
      <c r="A48" s="96" t="s">
        <v>71</v>
      </c>
      <c r="B48" s="97"/>
      <c r="C48" s="98"/>
      <c r="D48" s="53">
        <f>SUM(D40:D47)</f>
        <v>1550</v>
      </c>
      <c r="E48" s="53">
        <f t="shared" ref="E48:J48" si="4">SUM(E40:E47)</f>
        <v>1582</v>
      </c>
      <c r="F48" s="53">
        <f>SUM(F40:F47)</f>
        <v>943.07692307692298</v>
      </c>
      <c r="G48" s="53">
        <f>SUM(G40:G47)</f>
        <v>686.66666666666674</v>
      </c>
      <c r="H48" s="53">
        <f>SUM(H40:H47)</f>
        <v>1278</v>
      </c>
      <c r="I48" s="53">
        <f>SUM(I40:I47)</f>
        <v>1370.7821229050278</v>
      </c>
      <c r="J48" s="53">
        <f t="shared" si="4"/>
        <v>1902</v>
      </c>
      <c r="K48" s="29">
        <v>20</v>
      </c>
      <c r="R48" s="54"/>
    </row>
    <row r="49" spans="1:18" s="41" customFormat="1" ht="15" x14ac:dyDescent="0.25">
      <c r="A49" s="38"/>
      <c r="B49" s="38"/>
      <c r="C49" s="38"/>
      <c r="D49" s="39"/>
      <c r="E49" s="39"/>
      <c r="F49" s="39"/>
      <c r="G49" s="39"/>
      <c r="H49" s="39"/>
      <c r="I49" s="39"/>
      <c r="J49" s="39"/>
      <c r="K49" s="40"/>
      <c r="R49" s="42"/>
    </row>
    <row r="50" spans="1:18" s="41" customFormat="1" ht="15" x14ac:dyDescent="0.25">
      <c r="A50" s="38"/>
      <c r="B50" s="38"/>
      <c r="C50" s="38"/>
      <c r="D50" s="39"/>
      <c r="E50" s="39"/>
      <c r="F50" s="39"/>
      <c r="G50" s="39"/>
      <c r="H50" s="39"/>
      <c r="I50" s="39"/>
      <c r="J50" s="39"/>
      <c r="K50" s="40"/>
      <c r="R50" s="42"/>
    </row>
    <row r="51" spans="1:18" ht="33.75" x14ac:dyDescent="0.2">
      <c r="A51" s="105" t="s">
        <v>72</v>
      </c>
      <c r="B51" s="106"/>
      <c r="C51" s="107"/>
      <c r="D51" s="45" t="s">
        <v>6</v>
      </c>
      <c r="E51" s="45" t="s">
        <v>25</v>
      </c>
      <c r="F51" s="45" t="s">
        <v>34</v>
      </c>
      <c r="G51" s="45" t="s">
        <v>33</v>
      </c>
      <c r="H51" s="45" t="s">
        <v>5</v>
      </c>
      <c r="I51" s="45" t="s">
        <v>41</v>
      </c>
      <c r="J51" s="45" t="s">
        <v>36</v>
      </c>
      <c r="K51" s="45" t="s">
        <v>40</v>
      </c>
    </row>
    <row r="52" spans="1:18" x14ac:dyDescent="0.2">
      <c r="A52" s="93" t="s">
        <v>85</v>
      </c>
      <c r="B52" s="30" t="s">
        <v>70</v>
      </c>
      <c r="C52" s="30"/>
      <c r="D52" s="30">
        <v>20</v>
      </c>
      <c r="E52" s="30">
        <v>20</v>
      </c>
      <c r="F52" s="30">
        <v>20</v>
      </c>
      <c r="G52" s="30">
        <v>25</v>
      </c>
      <c r="H52" s="30">
        <v>20</v>
      </c>
      <c r="I52" s="30">
        <v>20</v>
      </c>
      <c r="J52" s="31">
        <v>30</v>
      </c>
      <c r="K52" s="30">
        <v>25</v>
      </c>
      <c r="R52" s="19"/>
    </row>
    <row r="53" spans="1:18" x14ac:dyDescent="0.2">
      <c r="A53" s="93"/>
      <c r="B53" s="94" t="s">
        <v>68</v>
      </c>
      <c r="C53" s="95"/>
      <c r="D53" s="32">
        <v>6.7000000000000004E-2</v>
      </c>
      <c r="E53" s="32">
        <v>6.7000000000000004E-2</v>
      </c>
      <c r="F53" s="32">
        <v>6.7000000000000004E-2</v>
      </c>
      <c r="G53" s="32">
        <v>5.7500000000000002E-2</v>
      </c>
      <c r="H53" s="32">
        <v>6.7000000000000004E-2</v>
      </c>
      <c r="I53" s="32">
        <v>6.7000000000000004E-2</v>
      </c>
      <c r="J53" s="33">
        <v>5.0999999999999997E-2</v>
      </c>
      <c r="K53" s="32">
        <v>5.7500000000000002E-2</v>
      </c>
    </row>
    <row r="54" spans="1:18" x14ac:dyDescent="0.2">
      <c r="A54" s="93"/>
      <c r="B54" s="94" t="s">
        <v>69</v>
      </c>
      <c r="C54" s="95"/>
      <c r="D54" s="34">
        <f>0.067*D28</f>
        <v>1306.5</v>
      </c>
      <c r="E54" s="34">
        <f>0.067*E28</f>
        <v>1507.5</v>
      </c>
      <c r="F54" s="34">
        <f>0.067*F28</f>
        <v>1909.5000000000002</v>
      </c>
      <c r="G54" s="34">
        <f>0.0575*G28</f>
        <v>2127.5</v>
      </c>
      <c r="H54" s="34">
        <f>0.067*H28</f>
        <v>2144</v>
      </c>
      <c r="I54" s="34">
        <f>0.067*I28</f>
        <v>1876</v>
      </c>
      <c r="J54" s="34">
        <f>0.051*J28</f>
        <v>790.5</v>
      </c>
      <c r="K54" s="30">
        <f>0.057*K28</f>
        <v>752.4</v>
      </c>
    </row>
    <row r="55" spans="1:18" ht="17.25" customHeight="1" x14ac:dyDescent="0.2">
      <c r="A55" s="30" t="s">
        <v>19</v>
      </c>
      <c r="B55" s="30"/>
      <c r="C55" s="30"/>
      <c r="D55" s="30">
        <f>D36</f>
        <v>630</v>
      </c>
      <c r="E55" s="30">
        <f t="shared" ref="E55:J55" si="5">E36</f>
        <v>530</v>
      </c>
      <c r="F55" s="30">
        <f>F36</f>
        <v>150</v>
      </c>
      <c r="G55" s="30">
        <f>G36</f>
        <v>100</v>
      </c>
      <c r="H55" s="30">
        <f>H36</f>
        <v>530</v>
      </c>
      <c r="I55" s="30">
        <f>I36</f>
        <v>430</v>
      </c>
      <c r="J55" s="31">
        <f t="shared" si="5"/>
        <v>50</v>
      </c>
      <c r="K55" s="34">
        <f>K36</f>
        <v>20</v>
      </c>
    </row>
    <row r="56" spans="1:18" x14ac:dyDescent="0.2">
      <c r="A56" s="30" t="s">
        <v>78</v>
      </c>
      <c r="B56" s="30"/>
      <c r="C56" s="30"/>
      <c r="D56" s="34">
        <f>D48</f>
        <v>1550</v>
      </c>
      <c r="E56" s="34">
        <f t="shared" ref="E56" si="6">E48</f>
        <v>1582</v>
      </c>
      <c r="F56" s="34">
        <f t="shared" ref="F56:K56" si="7">F48</f>
        <v>943.07692307692298</v>
      </c>
      <c r="G56" s="34">
        <f t="shared" si="7"/>
        <v>686.66666666666674</v>
      </c>
      <c r="H56" s="34">
        <f t="shared" si="7"/>
        <v>1278</v>
      </c>
      <c r="I56" s="34">
        <f t="shared" si="7"/>
        <v>1370.7821229050278</v>
      </c>
      <c r="J56" s="34">
        <f t="shared" si="7"/>
        <v>1902</v>
      </c>
      <c r="K56" s="30">
        <f t="shared" si="7"/>
        <v>20</v>
      </c>
    </row>
    <row r="57" spans="1:18" s="23" customFormat="1" x14ac:dyDescent="0.2">
      <c r="A57" s="30" t="s">
        <v>75</v>
      </c>
      <c r="B57" s="64">
        <v>84</v>
      </c>
      <c r="C57" s="30" t="s">
        <v>76</v>
      </c>
      <c r="D57" s="34">
        <f>B3/10*2.6/1000*B57</f>
        <v>349.44</v>
      </c>
      <c r="E57" s="34">
        <f>B3*0.2/1000*B57</f>
        <v>268.8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0">
        <v>0</v>
      </c>
    </row>
    <row r="58" spans="1:18" ht="7.15" customHeight="1" x14ac:dyDescent="0.2">
      <c r="A58" s="30"/>
      <c r="B58" s="30"/>
      <c r="C58" s="30"/>
      <c r="D58" s="30"/>
      <c r="E58" s="30"/>
      <c r="F58" s="30"/>
      <c r="G58" s="30"/>
      <c r="H58" s="30"/>
      <c r="I58" s="35"/>
      <c r="J58" s="31"/>
      <c r="K58" s="34"/>
    </row>
    <row r="59" spans="1:18" s="1" customFormat="1" ht="15" x14ac:dyDescent="0.25">
      <c r="A59" s="36" t="s">
        <v>73</v>
      </c>
      <c r="B59" s="36"/>
      <c r="C59" s="36"/>
      <c r="D59" s="37">
        <f t="shared" ref="D59:I59" si="8">SUM(D54:D56)</f>
        <v>3486.5</v>
      </c>
      <c r="E59" s="37">
        <f t="shared" si="8"/>
        <v>3619.5</v>
      </c>
      <c r="F59" s="37">
        <f t="shared" si="8"/>
        <v>3002.5769230769229</v>
      </c>
      <c r="G59" s="37">
        <f t="shared" si="8"/>
        <v>2914.166666666667</v>
      </c>
      <c r="H59" s="37">
        <f t="shared" si="8"/>
        <v>3952</v>
      </c>
      <c r="I59" s="37">
        <f t="shared" si="8"/>
        <v>3676.7821229050278</v>
      </c>
      <c r="J59" s="37">
        <f t="shared" ref="J59" si="9">SUM(J54:J56)</f>
        <v>2742.5</v>
      </c>
      <c r="K59" s="37">
        <f>SUM(K54:K56)</f>
        <v>792.4</v>
      </c>
    </row>
    <row r="60" spans="1:18" ht="7.5" customHeight="1" x14ac:dyDescent="0.2">
      <c r="A60" s="30"/>
      <c r="B60" s="30"/>
      <c r="C60" s="30"/>
      <c r="D60" s="30"/>
      <c r="E60" s="30"/>
      <c r="F60" s="30"/>
      <c r="G60" s="30"/>
      <c r="H60" s="30"/>
      <c r="I60" s="35"/>
      <c r="J60" s="31"/>
      <c r="K60" s="30"/>
    </row>
    <row r="61" spans="1:18" ht="15" x14ac:dyDescent="0.25">
      <c r="A61" s="36" t="s">
        <v>22</v>
      </c>
      <c r="B61" s="36"/>
      <c r="C61" s="36"/>
      <c r="D61" s="36">
        <f t="shared" ref="D61:I61" si="10">ROUND(D59/$B$3*100,1)</f>
        <v>21.8</v>
      </c>
      <c r="E61" s="36">
        <f t="shared" si="10"/>
        <v>22.6</v>
      </c>
      <c r="F61" s="36">
        <f t="shared" si="10"/>
        <v>18.8</v>
      </c>
      <c r="G61" s="36">
        <f t="shared" si="10"/>
        <v>18.2</v>
      </c>
      <c r="H61" s="36">
        <f t="shared" si="10"/>
        <v>24.7</v>
      </c>
      <c r="I61" s="36">
        <f t="shared" si="10"/>
        <v>23</v>
      </c>
      <c r="J61" s="36">
        <f t="shared" ref="J61" si="11">ROUND(J59/$B$3*100,1)</f>
        <v>17.100000000000001</v>
      </c>
      <c r="K61" s="36">
        <f>ROUND(K59/2500*100,1)</f>
        <v>31.7</v>
      </c>
    </row>
    <row r="62" spans="1:18" s="75" customFormat="1" ht="15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4" spans="1:18" ht="33.75" x14ac:dyDescent="0.2">
      <c r="A64" s="84" t="s">
        <v>82</v>
      </c>
      <c r="B64" s="85"/>
      <c r="C64" s="86"/>
      <c r="D64" s="73" t="s">
        <v>6</v>
      </c>
      <c r="E64" s="73" t="s">
        <v>25</v>
      </c>
      <c r="F64" s="73" t="s">
        <v>34</v>
      </c>
      <c r="G64" s="73" t="s">
        <v>33</v>
      </c>
      <c r="H64" s="73" t="s">
        <v>5</v>
      </c>
      <c r="I64" s="73" t="s">
        <v>41</v>
      </c>
      <c r="J64" s="73" t="s">
        <v>36</v>
      </c>
      <c r="K64" s="73" t="s">
        <v>40</v>
      </c>
    </row>
    <row r="65" spans="1:11" s="3" customFormat="1" ht="15" x14ac:dyDescent="0.25">
      <c r="A65" s="76" t="s">
        <v>83</v>
      </c>
      <c r="B65" s="76" t="s">
        <v>84</v>
      </c>
      <c r="C65" s="76"/>
      <c r="D65" s="77">
        <f>B8*2.977/1000</f>
        <v>4.7631999999999994</v>
      </c>
      <c r="E65" s="77">
        <f>B5*2.279/1000</f>
        <v>3.6463999999999994</v>
      </c>
      <c r="F65" s="77">
        <f>B7*0.139/1000</f>
        <v>0.85538461538461541</v>
      </c>
      <c r="G65" s="77">
        <f>B4*0.139/1000</f>
        <v>0.61777777777777787</v>
      </c>
      <c r="H65" s="77">
        <f>B6*0.0344</f>
        <v>0.11008000000000001</v>
      </c>
      <c r="I65" s="77">
        <f>B3/1790*0.011</f>
        <v>9.8324022346368709E-2</v>
      </c>
      <c r="J65" s="77">
        <f>B3/5000*0.023</f>
        <v>7.3599999999999999E-2</v>
      </c>
      <c r="K65" s="76"/>
    </row>
    <row r="66" spans="1:11" ht="12.75" x14ac:dyDescent="0.2">
      <c r="A66" s="80" t="s">
        <v>89</v>
      </c>
      <c r="B66" s="83" t="s">
        <v>91</v>
      </c>
      <c r="C66" s="80"/>
      <c r="D66" s="80"/>
      <c r="E66" s="81">
        <f>D65-E65</f>
        <v>1.1168</v>
      </c>
      <c r="F66" s="81">
        <f>D65-F65</f>
        <v>3.9078153846153842</v>
      </c>
      <c r="G66" s="81">
        <f>D65-G65</f>
        <v>4.1454222222222219</v>
      </c>
      <c r="H66" s="81">
        <f>D65-H65</f>
        <v>4.6531199999999995</v>
      </c>
      <c r="I66" s="81">
        <f>D65-I65</f>
        <v>4.6648759776536304</v>
      </c>
      <c r="J66" s="81">
        <f>D65-J65</f>
        <v>4.6895999999999995</v>
      </c>
      <c r="K66" s="80"/>
    </row>
    <row r="67" spans="1:11" ht="12.75" x14ac:dyDescent="0.2">
      <c r="A67" s="80" t="s">
        <v>89</v>
      </c>
      <c r="B67" s="80" t="s">
        <v>90</v>
      </c>
      <c r="C67" s="80"/>
      <c r="D67" s="80"/>
      <c r="E67" s="82">
        <f>E66/D65</f>
        <v>0.2344642257306013</v>
      </c>
      <c r="F67" s="82">
        <f>F66/D65</f>
        <v>0.82041807705227254</v>
      </c>
      <c r="G67" s="82">
        <f>G66/D65</f>
        <v>0.87030194453775245</v>
      </c>
      <c r="H67" s="82">
        <f>H66/D65</f>
        <v>0.97688948605979176</v>
      </c>
      <c r="I67" s="82">
        <f>I66/D65</f>
        <v>0.97935757004820934</v>
      </c>
      <c r="J67" s="82">
        <f>J66/D65</f>
        <v>0.98454820288881428</v>
      </c>
      <c r="K67" s="80"/>
    </row>
    <row r="125" ht="15" customHeight="1" x14ac:dyDescent="0.2"/>
  </sheetData>
  <mergeCells count="10">
    <mergeCell ref="A64:C64"/>
    <mergeCell ref="A30:C30"/>
    <mergeCell ref="A12:C12"/>
    <mergeCell ref="A52:A54"/>
    <mergeCell ref="B53:C53"/>
    <mergeCell ref="B54:C54"/>
    <mergeCell ref="A48:C48"/>
    <mergeCell ref="A47:C47"/>
    <mergeCell ref="A39:C39"/>
    <mergeCell ref="A51:C51"/>
  </mergeCells>
  <phoneticPr fontId="0" type="noConversion"/>
  <pageMargins left="0.2" right="0.11" top="0.59" bottom="0.69" header="0.4921259845" footer="0.4921259845"/>
  <pageSetup paperSize="9" scale="93" orientation="landscape" verticalDpi="300" r:id="rId1"/>
  <headerFooter alignWithMargins="0"/>
  <rowBreaks count="4" manualBreakCount="4">
    <brk id="37" max="11" man="1"/>
    <brk id="66" max="11" man="1"/>
    <brk id="96" max="16383" man="1"/>
    <brk id="12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6" zoomScale="90" zoomScaleNormal="90" workbookViewId="0">
      <selection activeCell="N75" sqref="N75"/>
    </sheetView>
  </sheetViews>
  <sheetFormatPr baseColWidth="10" defaultRowHeight="14.25" x14ac:dyDescent="0.2"/>
  <cols>
    <col min="1" max="1" width="21.28515625" customWidth="1"/>
    <col min="2" max="2" width="11.5703125" customWidth="1"/>
    <col min="3" max="3" width="19" customWidth="1"/>
    <col min="4" max="4" width="9.85546875" customWidth="1"/>
    <col min="5" max="5" width="10" customWidth="1"/>
    <col min="6" max="6" width="11.5703125" customWidth="1"/>
    <col min="7" max="7" width="10.140625" customWidth="1"/>
    <col min="8" max="9" width="10" customWidth="1"/>
    <col min="10" max="10" width="11" style="12" customWidth="1"/>
    <col min="11" max="11" width="9.85546875" customWidth="1"/>
    <col min="12" max="12" width="4.140625" customWidth="1"/>
  </cols>
  <sheetData>
    <row r="1" spans="1:11" ht="18" x14ac:dyDescent="0.25">
      <c r="A1" s="2" t="s">
        <v>56</v>
      </c>
      <c r="C1" s="15"/>
      <c r="F1" s="15" t="s">
        <v>54</v>
      </c>
    </row>
    <row r="2" spans="1:11" ht="5.85" customHeight="1" x14ac:dyDescent="0.2"/>
    <row r="3" spans="1:11" x14ac:dyDescent="0.2">
      <c r="A3" s="3" t="s">
        <v>0</v>
      </c>
      <c r="B3" s="17">
        <v>35000</v>
      </c>
      <c r="C3" s="3" t="s">
        <v>1</v>
      </c>
      <c r="D3" s="3"/>
      <c r="E3" s="3"/>
      <c r="F3" s="3"/>
      <c r="G3" s="3"/>
      <c r="H3" s="14" t="s">
        <v>23</v>
      </c>
      <c r="I3" s="18">
        <v>350</v>
      </c>
      <c r="J3" s="3" t="s">
        <v>21</v>
      </c>
    </row>
    <row r="4" spans="1:11" x14ac:dyDescent="0.2">
      <c r="A4" s="3" t="s">
        <v>35</v>
      </c>
      <c r="B4" s="10">
        <f>B3/3.6</f>
        <v>9722.2222222222226</v>
      </c>
      <c r="C4" s="3" t="s">
        <v>31</v>
      </c>
      <c r="D4" s="3"/>
      <c r="E4" s="3"/>
      <c r="F4" s="3"/>
      <c r="G4" s="3"/>
      <c r="H4" s="14" t="s">
        <v>47</v>
      </c>
      <c r="I4" s="5">
        <f>(3/4*B3/80)</f>
        <v>328.125</v>
      </c>
      <c r="J4" s="3" t="s">
        <v>57</v>
      </c>
      <c r="K4" s="3"/>
    </row>
    <row r="5" spans="1:11" x14ac:dyDescent="0.2">
      <c r="A5" s="3"/>
      <c r="B5" s="5">
        <f>B3/10</f>
        <v>3500</v>
      </c>
      <c r="C5" s="3" t="s">
        <v>27</v>
      </c>
      <c r="D5" s="3"/>
      <c r="E5" s="3"/>
      <c r="F5" s="3"/>
      <c r="G5" s="3"/>
      <c r="H5" s="16" t="s">
        <v>48</v>
      </c>
      <c r="I5" s="7">
        <f>B3/I3</f>
        <v>100</v>
      </c>
      <c r="J5" s="3" t="s">
        <v>28</v>
      </c>
    </row>
    <row r="6" spans="1:11" x14ac:dyDescent="0.2">
      <c r="A6" s="3"/>
      <c r="B6" s="6">
        <f>B3/5000</f>
        <v>7</v>
      </c>
      <c r="C6" s="3" t="s">
        <v>3</v>
      </c>
      <c r="D6" s="3"/>
      <c r="E6" s="3"/>
      <c r="F6" s="3"/>
      <c r="G6" s="3"/>
      <c r="H6" s="3"/>
      <c r="I6" s="3"/>
      <c r="K6" s="3"/>
    </row>
    <row r="7" spans="1:11" x14ac:dyDescent="0.2">
      <c r="A7" s="3"/>
      <c r="B7" s="5">
        <f>B3/2.6</f>
        <v>13461.538461538461</v>
      </c>
      <c r="C7" s="3" t="s">
        <v>32</v>
      </c>
      <c r="D7" s="3"/>
      <c r="E7" s="3"/>
      <c r="F7" s="3"/>
      <c r="G7" s="3"/>
      <c r="H7" s="3"/>
      <c r="I7" s="3"/>
      <c r="K7" s="3"/>
    </row>
    <row r="8" spans="1:11" x14ac:dyDescent="0.2">
      <c r="A8" s="3"/>
      <c r="B8" s="5">
        <f>B3/10</f>
        <v>3500</v>
      </c>
      <c r="C8" s="3" t="s">
        <v>2</v>
      </c>
      <c r="D8" s="3"/>
      <c r="E8" s="3"/>
      <c r="F8" s="3"/>
      <c r="G8" s="3"/>
      <c r="H8" s="3"/>
      <c r="I8" s="3"/>
      <c r="K8" s="3"/>
    </row>
    <row r="9" spans="1:11" x14ac:dyDescent="0.2">
      <c r="A9" s="3"/>
      <c r="B9" s="5">
        <f>B3/2000</f>
        <v>17.5</v>
      </c>
      <c r="C9" s="3" t="s">
        <v>44</v>
      </c>
      <c r="D9" s="3"/>
      <c r="E9" s="3"/>
      <c r="F9" s="3"/>
      <c r="G9" s="3" t="s">
        <v>87</v>
      </c>
      <c r="I9" s="3"/>
      <c r="K9" s="3"/>
    </row>
    <row r="10" spans="1:11" x14ac:dyDescent="0.2">
      <c r="A10" s="3"/>
      <c r="B10" s="5">
        <f>B3*0.9</f>
        <v>31500</v>
      </c>
      <c r="C10" s="3" t="s">
        <v>37</v>
      </c>
      <c r="D10" s="3"/>
      <c r="E10" s="3"/>
      <c r="F10" s="3"/>
      <c r="G10" s="3"/>
      <c r="H10" s="3"/>
      <c r="I10" s="3"/>
      <c r="K10" s="3"/>
    </row>
    <row r="11" spans="1:11" ht="13.5" customHeight="1" x14ac:dyDescent="0.2">
      <c r="A11" s="3"/>
      <c r="B11" s="5"/>
      <c r="C11" s="3"/>
      <c r="D11" s="3"/>
      <c r="E11" s="3"/>
      <c r="F11" s="3"/>
      <c r="G11" s="3"/>
      <c r="H11" s="3"/>
      <c r="I11" s="3"/>
      <c r="K11" s="3"/>
    </row>
    <row r="12" spans="1:11" ht="33" customHeight="1" x14ac:dyDescent="0.2">
      <c r="A12" s="90" t="s">
        <v>4</v>
      </c>
      <c r="B12" s="91"/>
      <c r="C12" s="92"/>
      <c r="D12" s="50" t="s">
        <v>6</v>
      </c>
      <c r="E12" s="50" t="s">
        <v>25</v>
      </c>
      <c r="F12" s="50" t="s">
        <v>34</v>
      </c>
      <c r="G12" s="50" t="s">
        <v>33</v>
      </c>
      <c r="H12" s="50" t="s">
        <v>60</v>
      </c>
      <c r="I12" s="50" t="s">
        <v>41</v>
      </c>
      <c r="J12" s="50" t="s">
        <v>36</v>
      </c>
      <c r="K12" s="50" t="s">
        <v>77</v>
      </c>
    </row>
    <row r="13" spans="1:11" ht="15" x14ac:dyDescent="0.2">
      <c r="A13" s="43" t="s">
        <v>59</v>
      </c>
      <c r="B13" s="43"/>
      <c r="C13" s="43"/>
      <c r="D13" s="43">
        <v>0</v>
      </c>
      <c r="E13" s="43">
        <v>5000</v>
      </c>
      <c r="F13" s="43">
        <v>0</v>
      </c>
      <c r="G13" s="43">
        <v>0</v>
      </c>
      <c r="H13" s="43">
        <v>5000</v>
      </c>
      <c r="I13" s="43">
        <v>0</v>
      </c>
      <c r="J13" s="43">
        <v>8000</v>
      </c>
      <c r="K13" s="52"/>
    </row>
    <row r="14" spans="1:11" x14ac:dyDescent="0.2">
      <c r="A14" s="43" t="s">
        <v>50</v>
      </c>
      <c r="B14" s="43"/>
      <c r="C14" s="43"/>
      <c r="D14" s="43">
        <v>3000</v>
      </c>
      <c r="E14" s="43">
        <v>3000</v>
      </c>
      <c r="F14" s="43">
        <v>3000</v>
      </c>
      <c r="G14" s="43">
        <v>3000</v>
      </c>
      <c r="H14" s="43">
        <v>3000</v>
      </c>
      <c r="I14" s="43">
        <v>3000</v>
      </c>
      <c r="J14" s="43">
        <v>3000</v>
      </c>
      <c r="K14" s="43"/>
    </row>
    <row r="15" spans="1:11" x14ac:dyDescent="0.2">
      <c r="A15" s="43" t="s">
        <v>61</v>
      </c>
      <c r="B15" s="43"/>
      <c r="C15" s="43"/>
      <c r="D15" s="43">
        <v>10000</v>
      </c>
      <c r="E15" s="43">
        <v>9000</v>
      </c>
      <c r="F15" s="43">
        <v>21000</v>
      </c>
      <c r="G15" s="43">
        <v>18000</v>
      </c>
      <c r="H15" s="43">
        <v>17000</v>
      </c>
      <c r="I15" s="43">
        <v>16000</v>
      </c>
      <c r="J15" s="43">
        <v>8000</v>
      </c>
      <c r="K15" s="43">
        <v>16000</v>
      </c>
    </row>
    <row r="16" spans="1:11" x14ac:dyDescent="0.2">
      <c r="A16" s="43" t="s">
        <v>58</v>
      </c>
      <c r="B16" s="43"/>
      <c r="C16" s="43"/>
      <c r="D16" s="43">
        <v>0</v>
      </c>
      <c r="E16" s="43">
        <v>0</v>
      </c>
      <c r="F16" s="43">
        <v>0</v>
      </c>
      <c r="G16" s="43">
        <f>ROUND(I4/10,0)*900</f>
        <v>29700</v>
      </c>
      <c r="H16" s="43">
        <v>0</v>
      </c>
      <c r="I16" s="43">
        <v>0</v>
      </c>
      <c r="J16" s="43">
        <v>0</v>
      </c>
      <c r="K16" s="43"/>
    </row>
    <row r="17" spans="1:11" x14ac:dyDescent="0.2">
      <c r="A17" s="43" t="s">
        <v>52</v>
      </c>
      <c r="B17" s="43"/>
      <c r="C17" s="43"/>
      <c r="D17" s="43">
        <v>0</v>
      </c>
      <c r="E17" s="43">
        <v>0</v>
      </c>
      <c r="F17" s="43">
        <v>0</v>
      </c>
      <c r="G17" s="43">
        <v>0</v>
      </c>
      <c r="H17" s="43">
        <v>2000</v>
      </c>
      <c r="I17" s="43"/>
      <c r="J17" s="43">
        <v>0</v>
      </c>
      <c r="K17" s="43"/>
    </row>
    <row r="18" spans="1:11" x14ac:dyDescent="0.2">
      <c r="A18" s="43" t="s">
        <v>53</v>
      </c>
      <c r="B18" s="43"/>
      <c r="C18" s="43"/>
      <c r="D18" s="43">
        <v>4000</v>
      </c>
      <c r="E18" s="43">
        <v>3000</v>
      </c>
      <c r="F18" s="43">
        <v>8000</v>
      </c>
      <c r="G18" s="43">
        <v>8000</v>
      </c>
      <c r="H18" s="43">
        <v>5000</v>
      </c>
      <c r="I18" s="43">
        <v>8000</v>
      </c>
      <c r="J18" s="43">
        <v>0</v>
      </c>
      <c r="K18" s="43"/>
    </row>
    <row r="19" spans="1:11" x14ac:dyDescent="0.2">
      <c r="A19" s="43" t="s">
        <v>49</v>
      </c>
      <c r="B19" s="43"/>
      <c r="C19" s="43"/>
      <c r="D19" s="43">
        <v>500</v>
      </c>
      <c r="E19" s="43">
        <v>500</v>
      </c>
      <c r="F19" s="43">
        <v>500</v>
      </c>
      <c r="G19" s="43">
        <v>500</v>
      </c>
      <c r="H19" s="43">
        <v>500</v>
      </c>
      <c r="I19" s="43">
        <v>500</v>
      </c>
      <c r="J19" s="43">
        <v>500</v>
      </c>
      <c r="K19" s="43"/>
    </row>
    <row r="20" spans="1:11" x14ac:dyDescent="0.2">
      <c r="A20" s="43" t="s">
        <v>86</v>
      </c>
      <c r="B20" s="43"/>
      <c r="C20" s="43"/>
      <c r="D20" s="43">
        <v>0</v>
      </c>
      <c r="E20" s="43">
        <v>3000</v>
      </c>
      <c r="F20" s="43">
        <v>0</v>
      </c>
      <c r="G20" s="43">
        <v>0</v>
      </c>
      <c r="H20" s="43">
        <v>4000</v>
      </c>
      <c r="I20" s="43">
        <v>4000</v>
      </c>
      <c r="J20" s="43">
        <v>0</v>
      </c>
      <c r="K20" s="43"/>
    </row>
    <row r="21" spans="1:11" x14ac:dyDescent="0.2">
      <c r="A21" s="43" t="s">
        <v>7</v>
      </c>
      <c r="B21" s="43"/>
      <c r="C21" s="43"/>
      <c r="D21" s="43">
        <v>2500</v>
      </c>
      <c r="E21" s="43">
        <v>2500</v>
      </c>
      <c r="F21" s="43">
        <v>3000</v>
      </c>
      <c r="G21" s="43">
        <v>3000</v>
      </c>
      <c r="H21" s="43">
        <v>4000</v>
      </c>
      <c r="I21" s="43">
        <v>5000</v>
      </c>
      <c r="J21" s="43">
        <v>2000</v>
      </c>
      <c r="K21" s="43"/>
    </row>
    <row r="22" spans="1:11" x14ac:dyDescent="0.2">
      <c r="A22" s="43" t="s">
        <v>8</v>
      </c>
      <c r="B22" s="43"/>
      <c r="C22" s="43"/>
      <c r="D22" s="43">
        <v>2000</v>
      </c>
      <c r="E22" s="43">
        <v>1500</v>
      </c>
      <c r="F22" s="51">
        <v>2500</v>
      </c>
      <c r="G22" s="43">
        <v>3000</v>
      </c>
      <c r="H22" s="43">
        <v>2000</v>
      </c>
      <c r="I22" s="43">
        <v>2000</v>
      </c>
      <c r="J22" s="44">
        <v>1000</v>
      </c>
      <c r="K22" s="43"/>
    </row>
    <row r="23" spans="1:11" ht="6.75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 t="s">
        <v>13</v>
      </c>
      <c r="B24" s="43"/>
      <c r="C24" s="43"/>
      <c r="D24" s="43">
        <f t="shared" ref="D24:K24" si="0">SUM(D13:D22)</f>
        <v>22000</v>
      </c>
      <c r="E24" s="43">
        <f t="shared" si="0"/>
        <v>27500</v>
      </c>
      <c r="F24" s="43">
        <f t="shared" si="0"/>
        <v>38000</v>
      </c>
      <c r="G24" s="43">
        <f t="shared" si="0"/>
        <v>65200</v>
      </c>
      <c r="H24" s="43">
        <f t="shared" si="0"/>
        <v>42500</v>
      </c>
      <c r="I24" s="43">
        <f t="shared" si="0"/>
        <v>38500</v>
      </c>
      <c r="J24" s="43">
        <f t="shared" si="0"/>
        <v>22500</v>
      </c>
      <c r="K24" s="43">
        <f t="shared" si="0"/>
        <v>16000</v>
      </c>
    </row>
    <row r="25" spans="1:11" x14ac:dyDescent="0.2">
      <c r="A25" s="43" t="s">
        <v>63</v>
      </c>
      <c r="B25" s="43"/>
      <c r="C25" s="43"/>
      <c r="D25" s="43">
        <v>0</v>
      </c>
      <c r="E25" s="43">
        <v>0</v>
      </c>
      <c r="F25" s="43">
        <v>3500</v>
      </c>
      <c r="G25" s="43">
        <v>7000</v>
      </c>
      <c r="H25" s="43">
        <v>7000</v>
      </c>
      <c r="I25" s="43">
        <v>7000</v>
      </c>
      <c r="J25" s="43">
        <v>7000</v>
      </c>
      <c r="K25" s="43">
        <v>2800</v>
      </c>
    </row>
    <row r="26" spans="1:11" s="23" customFormat="1" x14ac:dyDescent="0.2">
      <c r="A26" s="43" t="s">
        <v>62</v>
      </c>
      <c r="B26" s="43"/>
      <c r="C26" s="43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</row>
    <row r="27" spans="1:11" s="23" customFormat="1" ht="6.75" customHeight="1" x14ac:dyDescent="0.2">
      <c r="A27" s="65"/>
      <c r="B27" s="66"/>
      <c r="C27" s="67"/>
      <c r="D27" s="43"/>
      <c r="E27" s="43"/>
      <c r="F27" s="43"/>
      <c r="G27" s="43"/>
      <c r="H27" s="43"/>
      <c r="I27" s="43"/>
      <c r="J27" s="43"/>
      <c r="K27" s="43"/>
    </row>
    <row r="28" spans="1:11" s="57" customFormat="1" ht="15.75" customHeight="1" x14ac:dyDescent="0.25">
      <c r="A28" s="111" t="s">
        <v>38</v>
      </c>
      <c r="B28" s="112"/>
      <c r="C28" s="113"/>
      <c r="D28" s="61">
        <f>D24-D25-D26</f>
        <v>22000</v>
      </c>
      <c r="E28" s="61">
        <f t="shared" ref="E28:K28" si="1">E24-E25-E26</f>
        <v>27500</v>
      </c>
      <c r="F28" s="61">
        <f>F24-F25-F26</f>
        <v>34500</v>
      </c>
      <c r="G28" s="61">
        <f>G24-G25-G26</f>
        <v>58200</v>
      </c>
      <c r="H28" s="61">
        <f>H24-H25-H26</f>
        <v>35500</v>
      </c>
      <c r="I28" s="61">
        <f t="shared" si="1"/>
        <v>31500</v>
      </c>
      <c r="J28" s="61">
        <f t="shared" si="1"/>
        <v>15500</v>
      </c>
      <c r="K28" s="61">
        <f t="shared" si="1"/>
        <v>13200</v>
      </c>
    </row>
    <row r="29" spans="1:11" ht="23.2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33.75" customHeight="1" x14ac:dyDescent="0.2">
      <c r="A30" s="87" t="s">
        <v>9</v>
      </c>
      <c r="B30" s="88"/>
      <c r="C30" s="89"/>
      <c r="D30" s="48" t="s">
        <v>6</v>
      </c>
      <c r="E30" s="48" t="s">
        <v>25</v>
      </c>
      <c r="F30" s="48" t="s">
        <v>34</v>
      </c>
      <c r="G30" s="48" t="s">
        <v>33</v>
      </c>
      <c r="H30" s="48" t="s">
        <v>60</v>
      </c>
      <c r="I30" s="48" t="s">
        <v>41</v>
      </c>
      <c r="J30" s="48" t="s">
        <v>36</v>
      </c>
      <c r="K30" s="48" t="s">
        <v>77</v>
      </c>
    </row>
    <row r="31" spans="1:11" x14ac:dyDescent="0.2">
      <c r="A31" s="47" t="s">
        <v>10</v>
      </c>
      <c r="B31" s="47"/>
      <c r="C31" s="47"/>
      <c r="D31" s="47">
        <v>150</v>
      </c>
      <c r="E31" s="47">
        <v>100</v>
      </c>
      <c r="F31" s="47">
        <v>0</v>
      </c>
      <c r="G31" s="47">
        <v>0</v>
      </c>
      <c r="H31" s="47">
        <v>150</v>
      </c>
      <c r="I31" s="47">
        <v>150</v>
      </c>
      <c r="J31" s="49">
        <v>0</v>
      </c>
      <c r="K31" s="47">
        <v>0</v>
      </c>
    </row>
    <row r="32" spans="1:11" x14ac:dyDescent="0.2">
      <c r="A32" s="47" t="s">
        <v>79</v>
      </c>
      <c r="B32" s="47"/>
      <c r="C32" s="47"/>
      <c r="D32" s="47">
        <v>100</v>
      </c>
      <c r="E32" s="47">
        <v>250</v>
      </c>
      <c r="F32" s="47">
        <v>0</v>
      </c>
      <c r="G32" s="47">
        <v>0</v>
      </c>
      <c r="H32" s="47">
        <v>0</v>
      </c>
      <c r="I32" s="47">
        <v>0</v>
      </c>
      <c r="J32" s="49">
        <v>0</v>
      </c>
      <c r="K32" s="47">
        <v>0</v>
      </c>
    </row>
    <row r="33" spans="1:11" x14ac:dyDescent="0.2">
      <c r="A33" s="47" t="s">
        <v>11</v>
      </c>
      <c r="B33" s="47"/>
      <c r="C33" s="47"/>
      <c r="D33" s="47">
        <v>50</v>
      </c>
      <c r="E33" s="47">
        <v>50</v>
      </c>
      <c r="F33" s="47">
        <v>0</v>
      </c>
      <c r="G33" s="47">
        <v>0</v>
      </c>
      <c r="H33" s="47">
        <v>50</v>
      </c>
      <c r="I33" s="47">
        <v>0</v>
      </c>
      <c r="J33" s="49">
        <v>0</v>
      </c>
      <c r="K33" s="47">
        <v>0</v>
      </c>
    </row>
    <row r="34" spans="1:11" x14ac:dyDescent="0.2">
      <c r="A34" s="47" t="s">
        <v>80</v>
      </c>
      <c r="B34" s="47"/>
      <c r="C34" s="47"/>
      <c r="D34" s="47">
        <v>350</v>
      </c>
      <c r="E34" s="47">
        <v>200</v>
      </c>
      <c r="F34" s="47">
        <v>150</v>
      </c>
      <c r="G34" s="47">
        <v>100</v>
      </c>
      <c r="H34" s="47">
        <v>350</v>
      </c>
      <c r="I34" s="47">
        <v>200</v>
      </c>
      <c r="J34" s="47">
        <v>50</v>
      </c>
      <c r="K34" s="47">
        <v>20</v>
      </c>
    </row>
    <row r="35" spans="1:11" ht="6.75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9"/>
      <c r="K35" s="47"/>
    </row>
    <row r="36" spans="1:11" s="59" customFormat="1" ht="15" x14ac:dyDescent="0.25">
      <c r="A36" s="58" t="s">
        <v>12</v>
      </c>
      <c r="B36" s="58"/>
      <c r="C36" s="58"/>
      <c r="D36" s="58">
        <f>SUM(D31:D34)</f>
        <v>650</v>
      </c>
      <c r="E36" s="58">
        <f t="shared" ref="E36:K36" si="2">SUM(E31:E34)</f>
        <v>600</v>
      </c>
      <c r="F36" s="58">
        <f>SUM(F31:F34)</f>
        <v>150</v>
      </c>
      <c r="G36" s="58">
        <f>SUM(G31:G34)</f>
        <v>100</v>
      </c>
      <c r="H36" s="58">
        <f>SUM(H31:H34)</f>
        <v>550</v>
      </c>
      <c r="I36" s="58">
        <f t="shared" si="2"/>
        <v>350</v>
      </c>
      <c r="J36" s="58">
        <f t="shared" si="2"/>
        <v>50</v>
      </c>
      <c r="K36" s="58">
        <f t="shared" si="2"/>
        <v>20</v>
      </c>
    </row>
    <row r="37" spans="1:11" s="72" customFormat="1" ht="15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22.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K38" s="3"/>
    </row>
    <row r="39" spans="1:11" ht="33.75" customHeight="1" x14ac:dyDescent="0.2">
      <c r="A39" s="102" t="s">
        <v>20</v>
      </c>
      <c r="B39" s="103"/>
      <c r="C39" s="104"/>
      <c r="D39" s="46" t="s">
        <v>6</v>
      </c>
      <c r="E39" s="46" t="s">
        <v>25</v>
      </c>
      <c r="F39" s="46" t="s">
        <v>34</v>
      </c>
      <c r="G39" s="46" t="s">
        <v>33</v>
      </c>
      <c r="H39" s="46" t="s">
        <v>60</v>
      </c>
      <c r="I39" s="46" t="s">
        <v>41</v>
      </c>
      <c r="J39" s="46" t="s">
        <v>36</v>
      </c>
      <c r="K39" s="46" t="s">
        <v>77</v>
      </c>
    </row>
    <row r="40" spans="1:11" x14ac:dyDescent="0.2">
      <c r="A40" s="24" t="s">
        <v>30</v>
      </c>
      <c r="B40" s="64">
        <v>15</v>
      </c>
      <c r="C40" s="24" t="s">
        <v>24</v>
      </c>
      <c r="D40" s="24"/>
      <c r="E40" s="24"/>
      <c r="F40" s="26"/>
      <c r="G40" s="25">
        <f>B3/3.6*B40/100</f>
        <v>1458.3333333333335</v>
      </c>
      <c r="H40" s="24"/>
      <c r="I40" s="24"/>
      <c r="J40" s="27"/>
      <c r="K40" s="24"/>
    </row>
    <row r="41" spans="1:11" x14ac:dyDescent="0.2">
      <c r="A41" s="24" t="s">
        <v>25</v>
      </c>
      <c r="B41" s="64">
        <v>90</v>
      </c>
      <c r="C41" s="24" t="s">
        <v>26</v>
      </c>
      <c r="D41" s="24"/>
      <c r="E41" s="25">
        <f>B5*B41/100</f>
        <v>3150</v>
      </c>
      <c r="F41" s="26"/>
      <c r="G41" s="24"/>
      <c r="H41" s="24"/>
      <c r="I41" s="24"/>
      <c r="J41" s="27"/>
      <c r="K41" s="24"/>
    </row>
    <row r="42" spans="1:11" x14ac:dyDescent="0.2">
      <c r="A42" s="24" t="s">
        <v>5</v>
      </c>
      <c r="B42" s="64">
        <v>365</v>
      </c>
      <c r="C42" s="24" t="s">
        <v>16</v>
      </c>
      <c r="D42" s="24"/>
      <c r="E42" s="24"/>
      <c r="F42" s="26"/>
      <c r="G42" s="24"/>
      <c r="H42" s="24">
        <f>B6*B42</f>
        <v>2555</v>
      </c>
      <c r="I42" s="24"/>
      <c r="J42" s="27"/>
      <c r="K42" s="24"/>
    </row>
    <row r="43" spans="1:11" x14ac:dyDescent="0.2">
      <c r="A43" s="24" t="s">
        <v>29</v>
      </c>
      <c r="B43" s="64">
        <v>15</v>
      </c>
      <c r="C43" s="24" t="s">
        <v>24</v>
      </c>
      <c r="D43" s="25"/>
      <c r="E43" s="24"/>
      <c r="F43" s="78">
        <f>B3/2.6*B43/100</f>
        <v>2019.2307692307691</v>
      </c>
      <c r="G43" s="24"/>
      <c r="H43" s="24"/>
      <c r="I43" s="24"/>
      <c r="J43" s="27"/>
      <c r="K43" s="24"/>
    </row>
    <row r="44" spans="1:11" x14ac:dyDescent="0.2">
      <c r="A44" s="24" t="s">
        <v>14</v>
      </c>
      <c r="B44" s="64">
        <v>95</v>
      </c>
      <c r="C44" s="24" t="s">
        <v>43</v>
      </c>
      <c r="D44" s="24">
        <f>B8*B44/100</f>
        <v>3325</v>
      </c>
      <c r="E44" s="24"/>
      <c r="F44" s="26"/>
      <c r="G44" s="24"/>
      <c r="H44" s="24"/>
      <c r="I44" s="25"/>
      <c r="J44" s="27"/>
      <c r="K44" s="24"/>
    </row>
    <row r="45" spans="1:11" x14ac:dyDescent="0.2">
      <c r="A45" s="24" t="s">
        <v>41</v>
      </c>
      <c r="B45" s="64">
        <v>150</v>
      </c>
      <c r="C45" s="24" t="s">
        <v>42</v>
      </c>
      <c r="D45" s="24"/>
      <c r="E45" s="24"/>
      <c r="F45" s="26"/>
      <c r="G45" s="24"/>
      <c r="H45" s="24"/>
      <c r="I45" s="25">
        <f>B45*B9</f>
        <v>2625</v>
      </c>
      <c r="J45" s="27"/>
      <c r="K45" s="24"/>
    </row>
    <row r="46" spans="1:11" x14ac:dyDescent="0.2">
      <c r="A46" s="24" t="s">
        <v>36</v>
      </c>
      <c r="B46" s="64">
        <v>13</v>
      </c>
      <c r="C46" s="24" t="s">
        <v>24</v>
      </c>
      <c r="D46" s="24"/>
      <c r="E46" s="24"/>
      <c r="F46" s="25"/>
      <c r="G46" s="24"/>
      <c r="H46" s="24"/>
      <c r="I46" s="25"/>
      <c r="J46" s="27">
        <f>B10*B46/100</f>
        <v>4095</v>
      </c>
      <c r="K46" s="24"/>
    </row>
    <row r="47" spans="1:11" x14ac:dyDescent="0.2">
      <c r="A47" s="99" t="s">
        <v>15</v>
      </c>
      <c r="B47" s="100"/>
      <c r="C47" s="101"/>
      <c r="D47" s="24">
        <v>40</v>
      </c>
      <c r="E47" s="24">
        <v>40</v>
      </c>
      <c r="F47" s="24">
        <v>30</v>
      </c>
      <c r="G47" s="24">
        <v>30</v>
      </c>
      <c r="H47" s="24">
        <v>40</v>
      </c>
      <c r="I47" s="24">
        <v>40</v>
      </c>
      <c r="J47" s="24">
        <v>30</v>
      </c>
      <c r="K47" s="24">
        <v>20</v>
      </c>
    </row>
    <row r="48" spans="1:11" ht="6.75" customHeight="1" x14ac:dyDescent="0.25">
      <c r="A48" s="108"/>
      <c r="B48" s="109"/>
      <c r="C48" s="110"/>
      <c r="D48" s="28"/>
      <c r="E48" s="28"/>
      <c r="F48" s="28"/>
      <c r="G48" s="28"/>
      <c r="H48" s="28"/>
      <c r="I48" s="28"/>
      <c r="J48" s="28"/>
      <c r="K48" s="29"/>
    </row>
    <row r="49" spans="1:11" s="60" customFormat="1" ht="15" x14ac:dyDescent="0.25">
      <c r="A49" s="96" t="s">
        <v>18</v>
      </c>
      <c r="B49" s="97"/>
      <c r="C49" s="98"/>
      <c r="D49" s="62">
        <f>SUM(D40:D47)</f>
        <v>3365</v>
      </c>
      <c r="E49" s="62">
        <f t="shared" ref="E49:J49" si="3">SUM(E40:E47)</f>
        <v>3190</v>
      </c>
      <c r="F49" s="79">
        <f>SUM(F40:F47)</f>
        <v>2049.2307692307691</v>
      </c>
      <c r="G49" s="79">
        <f>SUM(G40:G47)</f>
        <v>1488.3333333333335</v>
      </c>
      <c r="H49" s="62">
        <f>SUM(H40:H47)</f>
        <v>2595</v>
      </c>
      <c r="I49" s="62">
        <f t="shared" si="3"/>
        <v>2665</v>
      </c>
      <c r="J49" s="62">
        <f t="shared" si="3"/>
        <v>4125</v>
      </c>
      <c r="K49" s="62">
        <v>20</v>
      </c>
    </row>
    <row r="50" spans="1:11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K50" s="3"/>
    </row>
    <row r="51" spans="1:11" ht="1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33.75" x14ac:dyDescent="0.2">
      <c r="A52" s="105" t="s">
        <v>72</v>
      </c>
      <c r="B52" s="106"/>
      <c r="C52" s="107"/>
      <c r="D52" s="45" t="s">
        <v>6</v>
      </c>
      <c r="E52" s="45" t="s">
        <v>25</v>
      </c>
      <c r="F52" s="45" t="s">
        <v>34</v>
      </c>
      <c r="G52" s="45" t="s">
        <v>33</v>
      </c>
      <c r="H52" s="45" t="s">
        <v>60</v>
      </c>
      <c r="I52" s="45" t="s">
        <v>41</v>
      </c>
      <c r="J52" s="45" t="s">
        <v>36</v>
      </c>
      <c r="K52" s="45" t="s">
        <v>77</v>
      </c>
    </row>
    <row r="53" spans="1:11" x14ac:dyDescent="0.2">
      <c r="A53" s="93" t="s">
        <v>85</v>
      </c>
      <c r="B53" s="30" t="s">
        <v>70</v>
      </c>
      <c r="C53" s="30"/>
      <c r="D53" s="30">
        <v>20</v>
      </c>
      <c r="E53" s="30">
        <v>20</v>
      </c>
      <c r="F53" s="30">
        <v>20</v>
      </c>
      <c r="G53" s="30">
        <v>25</v>
      </c>
      <c r="H53" s="30">
        <v>20</v>
      </c>
      <c r="I53" s="30">
        <v>20</v>
      </c>
      <c r="J53" s="31">
        <v>30</v>
      </c>
      <c r="K53" s="30">
        <v>25</v>
      </c>
    </row>
    <row r="54" spans="1:11" x14ac:dyDescent="0.2">
      <c r="A54" s="93"/>
      <c r="B54" s="94" t="s">
        <v>68</v>
      </c>
      <c r="C54" s="95"/>
      <c r="D54" s="32">
        <v>6.7000000000000004E-2</v>
      </c>
      <c r="E54" s="32">
        <v>6.7000000000000004E-2</v>
      </c>
      <c r="F54" s="32">
        <v>6.7000000000000004E-2</v>
      </c>
      <c r="G54" s="32">
        <v>5.7500000000000002E-2</v>
      </c>
      <c r="H54" s="32">
        <v>6.7000000000000004E-2</v>
      </c>
      <c r="I54" s="32">
        <v>6.7000000000000004E-2</v>
      </c>
      <c r="J54" s="33">
        <v>5.0999999999999997E-2</v>
      </c>
      <c r="K54" s="32">
        <v>5.7500000000000002E-2</v>
      </c>
    </row>
    <row r="55" spans="1:11" x14ac:dyDescent="0.2">
      <c r="A55" s="93"/>
      <c r="B55" s="94" t="s">
        <v>69</v>
      </c>
      <c r="C55" s="95"/>
      <c r="D55" s="34">
        <f>0.067*D28</f>
        <v>1474</v>
      </c>
      <c r="E55" s="34">
        <f>0.067*E28</f>
        <v>1842.5</v>
      </c>
      <c r="F55" s="34">
        <f>0.067*F28</f>
        <v>2311.5</v>
      </c>
      <c r="G55" s="34">
        <f>0.057*G28</f>
        <v>3317.4</v>
      </c>
      <c r="H55" s="34">
        <f>0.067*H28</f>
        <v>2378.5</v>
      </c>
      <c r="I55" s="34">
        <f>0.067*I28</f>
        <v>2110.5</v>
      </c>
      <c r="J55" s="34">
        <f>0.051*J28</f>
        <v>790.5</v>
      </c>
      <c r="K55" s="30">
        <f>0.057*K28</f>
        <v>752.4</v>
      </c>
    </row>
    <row r="56" spans="1:11" x14ac:dyDescent="0.2">
      <c r="A56" s="30" t="s">
        <v>19</v>
      </c>
      <c r="B56" s="30"/>
      <c r="C56" s="30"/>
      <c r="D56" s="30">
        <f>D36</f>
        <v>650</v>
      </c>
      <c r="E56" s="30">
        <f>E36</f>
        <v>600</v>
      </c>
      <c r="F56" s="30">
        <f>F36</f>
        <v>150</v>
      </c>
      <c r="G56" s="30">
        <f>G36</f>
        <v>100</v>
      </c>
      <c r="H56" s="30">
        <f>H36</f>
        <v>550</v>
      </c>
      <c r="I56" s="30">
        <f t="shared" ref="I56:K56" si="4">I36</f>
        <v>350</v>
      </c>
      <c r="J56" s="30">
        <f t="shared" si="4"/>
        <v>50</v>
      </c>
      <c r="K56" s="30">
        <f t="shared" si="4"/>
        <v>20</v>
      </c>
    </row>
    <row r="57" spans="1:11" x14ac:dyDescent="0.2">
      <c r="A57" s="30" t="s">
        <v>78</v>
      </c>
      <c r="B57" s="30"/>
      <c r="C57" s="30"/>
      <c r="D57" s="34">
        <f>D49</f>
        <v>3365</v>
      </c>
      <c r="E57" s="34">
        <f t="shared" ref="E57:K57" si="5">E49</f>
        <v>3190</v>
      </c>
      <c r="F57" s="34">
        <f>F49</f>
        <v>2049.2307692307691</v>
      </c>
      <c r="G57" s="34">
        <f>G49</f>
        <v>1488.3333333333335</v>
      </c>
      <c r="H57" s="34">
        <f>H49</f>
        <v>2595</v>
      </c>
      <c r="I57" s="34">
        <f t="shared" si="5"/>
        <v>2665</v>
      </c>
      <c r="J57" s="34">
        <f t="shared" si="5"/>
        <v>4125</v>
      </c>
      <c r="K57" s="34">
        <f t="shared" si="5"/>
        <v>20</v>
      </c>
    </row>
    <row r="58" spans="1:11" x14ac:dyDescent="0.2">
      <c r="A58" s="30" t="s">
        <v>75</v>
      </c>
      <c r="B58" s="64">
        <v>84</v>
      </c>
      <c r="C58" s="30" t="s">
        <v>76</v>
      </c>
      <c r="D58" s="34">
        <f>B3*0.2/1000*B58</f>
        <v>588</v>
      </c>
      <c r="E58" s="34">
        <f>B3*0.2/1000*B58</f>
        <v>588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0">
        <v>0</v>
      </c>
    </row>
    <row r="59" spans="1:11" ht="7.5" customHeight="1" x14ac:dyDescent="0.2">
      <c r="A59" s="30"/>
      <c r="B59" s="30"/>
      <c r="C59" s="30"/>
      <c r="D59" s="30"/>
      <c r="E59" s="30"/>
      <c r="F59" s="35"/>
      <c r="G59" s="30"/>
      <c r="H59" s="30"/>
      <c r="I59" s="30"/>
      <c r="J59" s="31"/>
      <c r="K59" s="34"/>
    </row>
    <row r="60" spans="1:11" ht="15" x14ac:dyDescent="0.25">
      <c r="A60" s="36" t="s">
        <v>73</v>
      </c>
      <c r="B60" s="36"/>
      <c r="C60" s="36"/>
      <c r="D60" s="37">
        <f t="shared" ref="D60:K60" si="6">SUM(D55:D57)</f>
        <v>5489</v>
      </c>
      <c r="E60" s="37">
        <f t="shared" si="6"/>
        <v>5632.5</v>
      </c>
      <c r="F60" s="37">
        <f t="shared" si="6"/>
        <v>4510.7307692307695</v>
      </c>
      <c r="G60" s="37">
        <f t="shared" si="6"/>
        <v>4905.7333333333336</v>
      </c>
      <c r="H60" s="37">
        <f t="shared" si="6"/>
        <v>5523.5</v>
      </c>
      <c r="I60" s="37">
        <f t="shared" si="6"/>
        <v>5125.5</v>
      </c>
      <c r="J60" s="37">
        <f t="shared" si="6"/>
        <v>4965.5</v>
      </c>
      <c r="K60" s="37">
        <f t="shared" si="6"/>
        <v>792.4</v>
      </c>
    </row>
    <row r="61" spans="1:11" ht="7.5" customHeight="1" x14ac:dyDescent="0.2">
      <c r="A61" s="30"/>
      <c r="B61" s="30"/>
      <c r="C61" s="30"/>
      <c r="D61" s="30"/>
      <c r="E61" s="30"/>
      <c r="F61" s="35"/>
      <c r="G61" s="30"/>
      <c r="H61" s="30"/>
      <c r="I61" s="30"/>
      <c r="J61" s="31"/>
      <c r="K61" s="30"/>
    </row>
    <row r="62" spans="1:11" ht="15" x14ac:dyDescent="0.25">
      <c r="A62" s="36" t="s">
        <v>22</v>
      </c>
      <c r="B62" s="36"/>
      <c r="C62" s="36"/>
      <c r="D62" s="36">
        <f>ROUND(D60/$B$3*100,1)</f>
        <v>15.7</v>
      </c>
      <c r="E62" s="36">
        <f t="shared" ref="E62:J62" si="7">ROUND(E60/$B$3*100,1)</f>
        <v>16.100000000000001</v>
      </c>
      <c r="F62" s="36">
        <f>ROUND(F60/$B$3*100,1)</f>
        <v>12.9</v>
      </c>
      <c r="G62" s="36">
        <f>ROUND(G60/$B$3*100,1)</f>
        <v>14</v>
      </c>
      <c r="H62" s="36">
        <f>ROUND(H60/$B$3*100,1)</f>
        <v>15.8</v>
      </c>
      <c r="I62" s="36">
        <f t="shared" si="7"/>
        <v>14.6</v>
      </c>
      <c r="J62" s="36">
        <f t="shared" si="7"/>
        <v>14.2</v>
      </c>
      <c r="K62" s="36">
        <f>ROUND(K60/2500*100,1)</f>
        <v>31.7</v>
      </c>
    </row>
    <row r="65" spans="1:11" ht="33.75" x14ac:dyDescent="0.2">
      <c r="A65" s="84" t="s">
        <v>82</v>
      </c>
      <c r="B65" s="85"/>
      <c r="C65" s="86"/>
      <c r="D65" s="73" t="s">
        <v>6</v>
      </c>
      <c r="E65" s="73" t="s">
        <v>25</v>
      </c>
      <c r="F65" s="73" t="s">
        <v>34</v>
      </c>
      <c r="G65" s="73" t="s">
        <v>33</v>
      </c>
      <c r="H65" s="73" t="s">
        <v>5</v>
      </c>
      <c r="I65" s="73" t="s">
        <v>41</v>
      </c>
      <c r="J65" s="73" t="s">
        <v>36</v>
      </c>
      <c r="K65" s="73" t="s">
        <v>40</v>
      </c>
    </row>
    <row r="66" spans="1:11" s="9" customFormat="1" ht="15" x14ac:dyDescent="0.25">
      <c r="A66" s="76" t="s">
        <v>83</v>
      </c>
      <c r="B66" s="76" t="s">
        <v>84</v>
      </c>
      <c r="C66" s="76"/>
      <c r="D66" s="77">
        <f>B8*2.977/1000</f>
        <v>10.419499999999999</v>
      </c>
      <c r="E66" s="77">
        <f>B5*2.279/1000</f>
        <v>7.9764999999999997</v>
      </c>
      <c r="F66" s="77">
        <f>B7*0.139/1000</f>
        <v>1.8711538461538462</v>
      </c>
      <c r="G66" s="77">
        <f>B4*0.139/1000</f>
        <v>1.3513888888888892</v>
      </c>
      <c r="H66" s="77">
        <f>B6*0.0344</f>
        <v>0.24080000000000001</v>
      </c>
      <c r="I66" s="77">
        <f>B3/1790*0.011</f>
        <v>0.21508379888268156</v>
      </c>
      <c r="J66" s="77">
        <f>B3/5000*0.023</f>
        <v>0.161</v>
      </c>
      <c r="K66" s="76"/>
    </row>
    <row r="67" spans="1:11" ht="12.75" x14ac:dyDescent="0.2">
      <c r="A67" s="83" t="s">
        <v>89</v>
      </c>
      <c r="B67" s="83" t="s">
        <v>92</v>
      </c>
      <c r="C67" s="80"/>
      <c r="D67" s="80"/>
      <c r="E67" s="81">
        <f>D66-E66</f>
        <v>2.4429999999999996</v>
      </c>
      <c r="F67" s="81">
        <f>D66-F66</f>
        <v>8.548346153846154</v>
      </c>
      <c r="G67" s="81">
        <f>D66-G66</f>
        <v>9.0681111111111097</v>
      </c>
      <c r="H67" s="81">
        <f>D66-H66</f>
        <v>10.178699999999999</v>
      </c>
      <c r="I67" s="81">
        <f>D66-I66</f>
        <v>10.204416201117319</v>
      </c>
      <c r="J67" s="81">
        <f>D66-J66</f>
        <v>10.2585</v>
      </c>
      <c r="K67" s="80"/>
    </row>
    <row r="68" spans="1:11" ht="12.75" x14ac:dyDescent="0.2">
      <c r="A68" s="83" t="s">
        <v>89</v>
      </c>
      <c r="B68" s="83" t="s">
        <v>90</v>
      </c>
      <c r="C68" s="80"/>
      <c r="D68" s="80"/>
      <c r="E68" s="82">
        <f>E67/D66</f>
        <v>0.23446422573060124</v>
      </c>
      <c r="F68" s="82">
        <f>F67/D66</f>
        <v>0.82041807705227265</v>
      </c>
      <c r="G68" s="82">
        <f>G67/D66</f>
        <v>0.87030194453775234</v>
      </c>
      <c r="H68" s="82">
        <f>H67/D66</f>
        <v>0.97688948605979176</v>
      </c>
      <c r="I68" s="82">
        <f>I67/D66</f>
        <v>0.97935757004820956</v>
      </c>
      <c r="J68" s="82">
        <f>J67/D66</f>
        <v>0.98454820288881428</v>
      </c>
      <c r="K68" s="80"/>
    </row>
  </sheetData>
  <mergeCells count="12">
    <mergeCell ref="A48:C48"/>
    <mergeCell ref="A12:C12"/>
    <mergeCell ref="A28:C28"/>
    <mergeCell ref="A30:C30"/>
    <mergeCell ref="A39:C39"/>
    <mergeCell ref="A47:C47"/>
    <mergeCell ref="A65:C65"/>
    <mergeCell ref="A53:A55"/>
    <mergeCell ref="B54:C54"/>
    <mergeCell ref="B55:C55"/>
    <mergeCell ref="A49:C49"/>
    <mergeCell ref="A52:C52"/>
  </mergeCells>
  <phoneticPr fontId="0" type="noConversion"/>
  <pageMargins left="0.2" right="0.11" top="0.59" bottom="0.69" header="0.4921259845" footer="0.4921259845"/>
  <pageSetup paperSize="9" scale="93" orientation="landscape" verticalDpi="300" r:id="rId1"/>
  <headerFooter alignWithMargins="0"/>
  <rowBreaks count="4" manualBreakCount="4">
    <brk id="37" max="11" man="1"/>
    <brk id="68" max="11" man="1"/>
    <brk id="101" max="11" man="1"/>
    <brk id="13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90" zoomScaleNormal="90" workbookViewId="0">
      <selection activeCell="N69" sqref="N69"/>
    </sheetView>
  </sheetViews>
  <sheetFormatPr baseColWidth="10" defaultRowHeight="14.25" x14ac:dyDescent="0.2"/>
  <cols>
    <col min="1" max="1" width="22" customWidth="1"/>
    <col min="3" max="3" width="18.85546875" customWidth="1"/>
    <col min="4" max="4" width="10.140625" customWidth="1"/>
    <col min="5" max="5" width="10" customWidth="1"/>
    <col min="6" max="6" width="10.42578125" customWidth="1"/>
    <col min="7" max="7" width="11" customWidth="1"/>
    <col min="8" max="8" width="10" customWidth="1"/>
    <col min="9" max="9" width="11.5703125" style="12" customWidth="1"/>
    <col min="10" max="10" width="10" customWidth="1"/>
    <col min="11" max="11" width="4.7109375" customWidth="1"/>
  </cols>
  <sheetData>
    <row r="1" spans="1:10" ht="18" x14ac:dyDescent="0.25">
      <c r="A1" s="2" t="s">
        <v>55</v>
      </c>
      <c r="C1" s="15"/>
      <c r="E1" s="15" t="s">
        <v>54</v>
      </c>
    </row>
    <row r="2" spans="1:10" ht="5.85" customHeight="1" x14ac:dyDescent="0.2"/>
    <row r="3" spans="1:10" x14ac:dyDescent="0.2">
      <c r="A3" s="3" t="s">
        <v>0</v>
      </c>
      <c r="B3" s="4">
        <v>70000</v>
      </c>
      <c r="C3" s="3" t="s">
        <v>1</v>
      </c>
      <c r="D3" s="3"/>
      <c r="E3" s="3"/>
      <c r="F3" s="3"/>
      <c r="G3" s="14" t="s">
        <v>23</v>
      </c>
      <c r="H3" s="18">
        <v>620</v>
      </c>
      <c r="I3" s="3" t="s">
        <v>21</v>
      </c>
    </row>
    <row r="4" spans="1:10" x14ac:dyDescent="0.2">
      <c r="A4" s="3" t="s">
        <v>35</v>
      </c>
      <c r="B4" s="10">
        <f>B3/3.6</f>
        <v>19444.444444444445</v>
      </c>
      <c r="C4" s="3" t="s">
        <v>31</v>
      </c>
      <c r="D4" s="3"/>
      <c r="E4" s="3"/>
      <c r="F4" s="3"/>
      <c r="G4" s="14" t="s">
        <v>47</v>
      </c>
      <c r="H4" s="7">
        <f>(3/4*B3/82)</f>
        <v>640.2439024390244</v>
      </c>
      <c r="I4" s="3" t="s">
        <v>57</v>
      </c>
      <c r="J4" s="3"/>
    </row>
    <row r="5" spans="1:10" x14ac:dyDescent="0.2">
      <c r="A5" s="3"/>
      <c r="B5" s="5">
        <f>B3/10</f>
        <v>7000</v>
      </c>
      <c r="C5" s="3" t="s">
        <v>27</v>
      </c>
      <c r="D5" s="3"/>
      <c r="E5" s="3"/>
      <c r="F5" s="3"/>
      <c r="G5" s="14" t="s">
        <v>48</v>
      </c>
      <c r="H5" s="7">
        <f>B3/H3</f>
        <v>112.90322580645162</v>
      </c>
      <c r="I5" s="3" t="s">
        <v>28</v>
      </c>
    </row>
    <row r="6" spans="1:10" x14ac:dyDescent="0.2">
      <c r="A6" s="3"/>
      <c r="B6" s="6">
        <f>B3/5000</f>
        <v>14</v>
      </c>
      <c r="C6" s="3" t="s">
        <v>3</v>
      </c>
      <c r="D6" s="3"/>
      <c r="E6" s="3"/>
      <c r="F6" s="3"/>
      <c r="G6" s="3"/>
      <c r="H6" s="3"/>
      <c r="J6" s="3"/>
    </row>
    <row r="7" spans="1:10" x14ac:dyDescent="0.2">
      <c r="A7" s="3"/>
      <c r="B7" s="5">
        <f>B3/2.6</f>
        <v>26923.076923076922</v>
      </c>
      <c r="C7" s="3" t="s">
        <v>32</v>
      </c>
      <c r="D7" s="3"/>
      <c r="E7" s="3"/>
      <c r="F7" s="3"/>
      <c r="G7" s="3"/>
      <c r="H7" s="3"/>
      <c r="J7" s="3"/>
    </row>
    <row r="8" spans="1:10" x14ac:dyDescent="0.2">
      <c r="A8" s="3"/>
      <c r="B8" s="5">
        <f>B3/10</f>
        <v>7000</v>
      </c>
      <c r="C8" s="3" t="s">
        <v>2</v>
      </c>
      <c r="D8" s="3"/>
      <c r="E8" s="3"/>
      <c r="F8" s="3"/>
      <c r="G8" s="3" t="s">
        <v>88</v>
      </c>
      <c r="H8" s="3"/>
      <c r="J8" s="3"/>
    </row>
    <row r="9" spans="1:10" x14ac:dyDescent="0.2">
      <c r="A9" s="3"/>
      <c r="B9" s="5">
        <f>B3*0.9</f>
        <v>63000</v>
      </c>
      <c r="C9" s="3" t="s">
        <v>37</v>
      </c>
      <c r="D9" s="3"/>
      <c r="E9" s="3"/>
      <c r="F9" s="3"/>
      <c r="G9" s="3"/>
      <c r="H9" s="3"/>
      <c r="J9" s="3"/>
    </row>
    <row r="10" spans="1:10" x14ac:dyDescent="0.2">
      <c r="A10" s="3"/>
      <c r="B10" s="5"/>
      <c r="C10" s="3"/>
      <c r="D10" s="3"/>
      <c r="E10" s="3"/>
      <c r="F10" s="3"/>
      <c r="G10" s="3"/>
      <c r="H10" s="3"/>
      <c r="J10" s="3"/>
    </row>
    <row r="11" spans="1:10" ht="33.75" customHeight="1" x14ac:dyDescent="0.2">
      <c r="A11" s="90" t="s">
        <v>4</v>
      </c>
      <c r="B11" s="91"/>
      <c r="C11" s="92"/>
      <c r="D11" s="50" t="s">
        <v>6</v>
      </c>
      <c r="E11" s="50" t="s">
        <v>25</v>
      </c>
      <c r="F11" s="50" t="s">
        <v>34</v>
      </c>
      <c r="G11" s="50" t="s">
        <v>33</v>
      </c>
      <c r="H11" s="50" t="s">
        <v>5</v>
      </c>
      <c r="I11" s="50" t="s">
        <v>36</v>
      </c>
      <c r="J11" s="50" t="s">
        <v>77</v>
      </c>
    </row>
    <row r="12" spans="1:10" x14ac:dyDescent="0.2">
      <c r="A12" s="43" t="s">
        <v>59</v>
      </c>
      <c r="B12" s="43"/>
      <c r="C12" s="43"/>
      <c r="D12" s="43">
        <v>0</v>
      </c>
      <c r="E12" s="43">
        <v>4000</v>
      </c>
      <c r="F12" s="43">
        <v>0</v>
      </c>
      <c r="G12" s="43">
        <v>0</v>
      </c>
      <c r="H12" s="43">
        <v>10000</v>
      </c>
      <c r="I12" s="43">
        <v>10000</v>
      </c>
      <c r="J12" s="43"/>
    </row>
    <row r="13" spans="1:10" x14ac:dyDescent="0.2">
      <c r="A13" s="43" t="s">
        <v>50</v>
      </c>
      <c r="B13" s="43"/>
      <c r="C13" s="43"/>
      <c r="D13" s="43">
        <v>3500</v>
      </c>
      <c r="E13" s="43">
        <v>3500</v>
      </c>
      <c r="F13" s="43">
        <v>3500</v>
      </c>
      <c r="G13" s="43">
        <v>3500</v>
      </c>
      <c r="H13" s="43">
        <v>3500</v>
      </c>
      <c r="I13" s="43">
        <v>3500</v>
      </c>
      <c r="J13" s="43"/>
    </row>
    <row r="14" spans="1:10" x14ac:dyDescent="0.2">
      <c r="A14" s="43" t="s">
        <v>61</v>
      </c>
      <c r="B14" s="43"/>
      <c r="C14" s="43"/>
      <c r="D14" s="43">
        <v>11000</v>
      </c>
      <c r="E14" s="43">
        <v>10000</v>
      </c>
      <c r="F14" s="43">
        <v>38000</v>
      </c>
      <c r="G14" s="43">
        <v>20000</v>
      </c>
      <c r="H14" s="43">
        <v>19000</v>
      </c>
      <c r="I14" s="43">
        <v>8000</v>
      </c>
      <c r="J14" s="43">
        <v>25000</v>
      </c>
    </row>
    <row r="15" spans="1:10" x14ac:dyDescent="0.2">
      <c r="A15" s="43" t="s">
        <v>58</v>
      </c>
      <c r="B15" s="43"/>
      <c r="C15" s="43"/>
      <c r="D15" s="43">
        <v>0</v>
      </c>
      <c r="E15" s="43">
        <v>0</v>
      </c>
      <c r="F15" s="43">
        <v>0</v>
      </c>
      <c r="G15" s="43">
        <f>ROUND(H4/10,0)*800</f>
        <v>51200</v>
      </c>
      <c r="H15" s="43">
        <v>0</v>
      </c>
      <c r="I15" s="43">
        <v>0</v>
      </c>
      <c r="J15" s="43"/>
    </row>
    <row r="16" spans="1:10" x14ac:dyDescent="0.2">
      <c r="A16" s="43" t="s">
        <v>52</v>
      </c>
      <c r="B16" s="43"/>
      <c r="C16" s="43"/>
      <c r="D16" s="43">
        <v>0</v>
      </c>
      <c r="E16" s="43">
        <v>0</v>
      </c>
      <c r="F16" s="43">
        <v>0</v>
      </c>
      <c r="G16" s="43">
        <v>0</v>
      </c>
      <c r="H16" s="43">
        <v>2000</v>
      </c>
      <c r="I16" s="43">
        <v>0</v>
      </c>
      <c r="J16" s="43"/>
    </row>
    <row r="17" spans="1:10" x14ac:dyDescent="0.2">
      <c r="A17" s="43" t="s">
        <v>53</v>
      </c>
      <c r="B17" s="43"/>
      <c r="C17" s="43"/>
      <c r="D17" s="43">
        <v>6000</v>
      </c>
      <c r="E17" s="43">
        <v>6000</v>
      </c>
      <c r="F17" s="43">
        <v>10000</v>
      </c>
      <c r="G17" s="43">
        <v>10000</v>
      </c>
      <c r="H17" s="43">
        <v>6000</v>
      </c>
      <c r="I17" s="43">
        <v>0</v>
      </c>
      <c r="J17" s="43"/>
    </row>
    <row r="18" spans="1:10" x14ac:dyDescent="0.2">
      <c r="A18" s="43" t="s">
        <v>49</v>
      </c>
      <c r="B18" s="43"/>
      <c r="C18" s="43"/>
      <c r="D18" s="43">
        <v>1000</v>
      </c>
      <c r="E18" s="43">
        <v>1000</v>
      </c>
      <c r="F18" s="43">
        <v>1000</v>
      </c>
      <c r="G18" s="43">
        <v>1000</v>
      </c>
      <c r="H18" s="43">
        <v>1000</v>
      </c>
      <c r="I18" s="43">
        <v>1000</v>
      </c>
      <c r="J18" s="43"/>
    </row>
    <row r="19" spans="1:10" x14ac:dyDescent="0.2">
      <c r="A19" s="43" t="s">
        <v>86</v>
      </c>
      <c r="B19" s="43"/>
      <c r="C19" s="43"/>
      <c r="D19" s="43">
        <v>0</v>
      </c>
      <c r="E19" s="43">
        <v>3500</v>
      </c>
      <c r="F19" s="43">
        <v>0</v>
      </c>
      <c r="G19" s="43">
        <v>0</v>
      </c>
      <c r="H19" s="43">
        <v>5000</v>
      </c>
      <c r="I19" s="43">
        <v>0</v>
      </c>
      <c r="J19" s="43"/>
    </row>
    <row r="20" spans="1:10" x14ac:dyDescent="0.2">
      <c r="A20" s="43" t="s">
        <v>7</v>
      </c>
      <c r="B20" s="43"/>
      <c r="C20" s="43"/>
      <c r="D20" s="43">
        <v>4000</v>
      </c>
      <c r="E20" s="43">
        <v>2500</v>
      </c>
      <c r="F20" s="51">
        <v>3000</v>
      </c>
      <c r="G20" s="43">
        <v>3000</v>
      </c>
      <c r="H20" s="43">
        <v>4000</v>
      </c>
      <c r="I20" s="43">
        <v>3000</v>
      </c>
      <c r="J20" s="44"/>
    </row>
    <row r="21" spans="1:10" x14ac:dyDescent="0.2">
      <c r="A21" s="43" t="s">
        <v>8</v>
      </c>
      <c r="B21" s="43"/>
      <c r="C21" s="43"/>
      <c r="D21" s="43">
        <v>2000</v>
      </c>
      <c r="E21" s="43">
        <v>1500</v>
      </c>
      <c r="F21" s="43">
        <v>3000</v>
      </c>
      <c r="G21" s="43">
        <v>3000</v>
      </c>
      <c r="H21" s="43">
        <v>2000</v>
      </c>
      <c r="I21" s="43">
        <v>1000</v>
      </c>
      <c r="J21" s="43"/>
    </row>
    <row r="22" spans="1:10" ht="6.6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x14ac:dyDescent="0.2">
      <c r="A23" s="43" t="s">
        <v>13</v>
      </c>
      <c r="B23" s="43"/>
      <c r="C23" s="43"/>
      <c r="D23" s="43">
        <f t="shared" ref="D23:J23" si="0">SUM(D12:D21)</f>
        <v>27500</v>
      </c>
      <c r="E23" s="43">
        <f t="shared" si="0"/>
        <v>32000</v>
      </c>
      <c r="F23" s="43">
        <f t="shared" si="0"/>
        <v>58500</v>
      </c>
      <c r="G23" s="43">
        <f t="shared" si="0"/>
        <v>91700</v>
      </c>
      <c r="H23" s="43">
        <f t="shared" si="0"/>
        <v>52500</v>
      </c>
      <c r="I23" s="43">
        <f t="shared" si="0"/>
        <v>26500</v>
      </c>
      <c r="J23" s="43">
        <f t="shared" si="0"/>
        <v>25000</v>
      </c>
    </row>
    <row r="24" spans="1:10" x14ac:dyDescent="0.2">
      <c r="A24" s="43" t="s">
        <v>63</v>
      </c>
      <c r="B24" s="43"/>
      <c r="C24" s="43"/>
      <c r="D24" s="43">
        <v>0</v>
      </c>
      <c r="E24" s="43">
        <v>0</v>
      </c>
      <c r="F24" s="43">
        <v>6000</v>
      </c>
      <c r="G24" s="43">
        <v>12000</v>
      </c>
      <c r="H24" s="43">
        <v>12000</v>
      </c>
      <c r="I24" s="43">
        <v>12000</v>
      </c>
      <c r="J24" s="43">
        <v>4600</v>
      </c>
    </row>
    <row r="25" spans="1:10" s="23" customFormat="1" x14ac:dyDescent="0.2">
      <c r="A25" s="114" t="s">
        <v>62</v>
      </c>
      <c r="B25" s="115"/>
      <c r="C25" s="116"/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23" customFormat="1" ht="6.75" customHeight="1" x14ac:dyDescent="0.2">
      <c r="A26" s="68"/>
      <c r="B26" s="69"/>
      <c r="C26" s="70"/>
      <c r="D26" s="63"/>
      <c r="E26" s="63"/>
      <c r="F26" s="63"/>
      <c r="G26" s="63"/>
      <c r="H26" s="63"/>
      <c r="I26" s="63"/>
      <c r="J26" s="63"/>
    </row>
    <row r="27" spans="1:10" s="57" customFormat="1" ht="15.75" customHeight="1" x14ac:dyDescent="0.25">
      <c r="A27" s="111" t="s">
        <v>38</v>
      </c>
      <c r="B27" s="112"/>
      <c r="C27" s="113"/>
      <c r="D27" s="61">
        <f>D23-D24-D25</f>
        <v>27500</v>
      </c>
      <c r="E27" s="61">
        <f t="shared" ref="E27:J27" si="1">E23-E24-E25</f>
        <v>32000</v>
      </c>
      <c r="F27" s="61">
        <f>F23-F24-F25</f>
        <v>52500</v>
      </c>
      <c r="G27" s="61">
        <f>G23-G24-G25</f>
        <v>79700</v>
      </c>
      <c r="H27" s="61">
        <f>H23-H24-H25</f>
        <v>40500</v>
      </c>
      <c r="I27" s="61">
        <f t="shared" si="1"/>
        <v>14500</v>
      </c>
      <c r="J27" s="61">
        <f t="shared" si="1"/>
        <v>20400</v>
      </c>
    </row>
    <row r="28" spans="1:10" ht="19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33.75" customHeight="1" x14ac:dyDescent="0.2">
      <c r="A29" s="87" t="s">
        <v>9</v>
      </c>
      <c r="B29" s="88"/>
      <c r="C29" s="89"/>
      <c r="D29" s="48" t="s">
        <v>6</v>
      </c>
      <c r="E29" s="48" t="s">
        <v>25</v>
      </c>
      <c r="F29" s="48" t="s">
        <v>34</v>
      </c>
      <c r="G29" s="48" t="s">
        <v>33</v>
      </c>
      <c r="H29" s="48" t="s">
        <v>5</v>
      </c>
      <c r="I29" s="48" t="s">
        <v>36</v>
      </c>
      <c r="J29" s="48" t="s">
        <v>77</v>
      </c>
    </row>
    <row r="30" spans="1:10" x14ac:dyDescent="0.2">
      <c r="A30" s="47" t="s">
        <v>10</v>
      </c>
      <c r="B30" s="47"/>
      <c r="C30" s="47"/>
      <c r="D30" s="47">
        <v>300</v>
      </c>
      <c r="E30" s="47">
        <v>200</v>
      </c>
      <c r="F30" s="47">
        <v>0</v>
      </c>
      <c r="G30" s="47">
        <v>0</v>
      </c>
      <c r="H30" s="47">
        <v>200</v>
      </c>
      <c r="I30" s="47">
        <v>0</v>
      </c>
      <c r="J30" s="49">
        <v>0</v>
      </c>
    </row>
    <row r="31" spans="1:10" x14ac:dyDescent="0.2">
      <c r="A31" s="47" t="s">
        <v>81</v>
      </c>
      <c r="B31" s="47"/>
      <c r="C31" s="47"/>
      <c r="D31" s="47">
        <v>100</v>
      </c>
      <c r="E31" s="47">
        <v>250</v>
      </c>
      <c r="F31" s="47">
        <v>0</v>
      </c>
      <c r="G31" s="47">
        <v>0</v>
      </c>
      <c r="H31" s="47">
        <v>0</v>
      </c>
      <c r="I31" s="47">
        <v>0</v>
      </c>
      <c r="J31" s="49">
        <v>0</v>
      </c>
    </row>
    <row r="32" spans="1:10" x14ac:dyDescent="0.2">
      <c r="A32" s="47" t="s">
        <v>11</v>
      </c>
      <c r="B32" s="47"/>
      <c r="C32" s="47"/>
      <c r="D32" s="47">
        <v>50</v>
      </c>
      <c r="E32" s="47">
        <v>50</v>
      </c>
      <c r="F32" s="47">
        <v>0</v>
      </c>
      <c r="G32" s="47">
        <v>0</v>
      </c>
      <c r="H32" s="47">
        <v>50</v>
      </c>
      <c r="I32" s="47">
        <v>0</v>
      </c>
      <c r="J32" s="49">
        <v>0</v>
      </c>
    </row>
    <row r="33" spans="1:10" x14ac:dyDescent="0.2">
      <c r="A33" s="47" t="s">
        <v>80</v>
      </c>
      <c r="B33" s="47"/>
      <c r="C33" s="47"/>
      <c r="D33" s="47">
        <v>450</v>
      </c>
      <c r="E33" s="47">
        <v>250</v>
      </c>
      <c r="F33" s="47">
        <v>250</v>
      </c>
      <c r="G33" s="47">
        <v>150</v>
      </c>
      <c r="H33" s="47">
        <v>400</v>
      </c>
      <c r="I33" s="47">
        <v>50</v>
      </c>
      <c r="J33" s="47">
        <v>20</v>
      </c>
    </row>
    <row r="34" spans="1:10" ht="5.2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9"/>
    </row>
    <row r="35" spans="1:10" ht="15" x14ac:dyDescent="0.25">
      <c r="A35" s="58" t="s">
        <v>12</v>
      </c>
      <c r="B35" s="58"/>
      <c r="C35" s="58"/>
      <c r="D35" s="58">
        <f>SUM(D30:D33)</f>
        <v>900</v>
      </c>
      <c r="E35" s="58">
        <f t="shared" ref="E35:J35" si="2">SUM(E30:E33)</f>
        <v>750</v>
      </c>
      <c r="F35" s="58">
        <f>SUM(F30:F33)</f>
        <v>250</v>
      </c>
      <c r="G35" s="58">
        <f>SUM(G30:G33)</f>
        <v>150</v>
      </c>
      <c r="H35" s="58">
        <f>SUM(H30:H33)</f>
        <v>650</v>
      </c>
      <c r="I35" s="58">
        <f t="shared" si="2"/>
        <v>50</v>
      </c>
      <c r="J35" s="58">
        <f t="shared" si="2"/>
        <v>20</v>
      </c>
    </row>
    <row r="36" spans="1:10" s="41" customFormat="1" ht="15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27.75" customHeight="1" x14ac:dyDescent="0.2">
      <c r="A37" s="3"/>
      <c r="B37" s="3"/>
      <c r="C37" s="3"/>
      <c r="D37" s="3"/>
      <c r="E37" s="3"/>
      <c r="F37" s="3"/>
      <c r="G37" s="3"/>
      <c r="H37" s="3"/>
      <c r="J37" s="3"/>
    </row>
    <row r="38" spans="1:10" ht="33.75" customHeight="1" x14ac:dyDescent="0.2">
      <c r="A38" s="102" t="s">
        <v>20</v>
      </c>
      <c r="B38" s="103"/>
      <c r="C38" s="104"/>
      <c r="D38" s="46" t="s">
        <v>6</v>
      </c>
      <c r="E38" s="46" t="s">
        <v>25</v>
      </c>
      <c r="F38" s="46" t="s">
        <v>34</v>
      </c>
      <c r="G38" s="46" t="s">
        <v>33</v>
      </c>
      <c r="H38" s="46" t="s">
        <v>5</v>
      </c>
      <c r="I38" s="46" t="s">
        <v>36</v>
      </c>
      <c r="J38" s="46" t="s">
        <v>77</v>
      </c>
    </row>
    <row r="39" spans="1:10" x14ac:dyDescent="0.2">
      <c r="A39" s="24" t="s">
        <v>30</v>
      </c>
      <c r="B39" s="64">
        <v>15</v>
      </c>
      <c r="C39" s="24" t="s">
        <v>24</v>
      </c>
      <c r="D39" s="24"/>
      <c r="E39" s="24"/>
      <c r="F39" s="26"/>
      <c r="G39" s="25">
        <f>B3/3.6*B39/100</f>
        <v>2916.666666666667</v>
      </c>
      <c r="H39" s="24"/>
      <c r="I39" s="24"/>
      <c r="J39" s="27"/>
    </row>
    <row r="40" spans="1:10" x14ac:dyDescent="0.2">
      <c r="A40" s="24" t="s">
        <v>25</v>
      </c>
      <c r="B40" s="64">
        <v>90</v>
      </c>
      <c r="C40" s="24" t="s">
        <v>26</v>
      </c>
      <c r="D40" s="24"/>
      <c r="E40" s="25">
        <f>B5*B40/100</f>
        <v>6300</v>
      </c>
      <c r="F40" s="26"/>
      <c r="G40" s="24"/>
      <c r="H40" s="24"/>
      <c r="I40" s="24"/>
      <c r="J40" s="27"/>
    </row>
    <row r="41" spans="1:10" x14ac:dyDescent="0.2">
      <c r="A41" s="24" t="s">
        <v>5</v>
      </c>
      <c r="B41" s="64">
        <v>360</v>
      </c>
      <c r="C41" s="24" t="s">
        <v>16</v>
      </c>
      <c r="D41" s="24"/>
      <c r="E41" s="24"/>
      <c r="F41" s="26"/>
      <c r="G41" s="24"/>
      <c r="H41" s="24">
        <f>B6*B41</f>
        <v>5040</v>
      </c>
      <c r="I41" s="24"/>
      <c r="J41" s="27"/>
    </row>
    <row r="42" spans="1:10" x14ac:dyDescent="0.2">
      <c r="A42" s="24" t="s">
        <v>29</v>
      </c>
      <c r="B42" s="64">
        <v>15</v>
      </c>
      <c r="C42" s="24" t="s">
        <v>24</v>
      </c>
      <c r="D42" s="25"/>
      <c r="E42" s="24"/>
      <c r="F42" s="78">
        <f>B3/2.6*B42/100</f>
        <v>4038.4615384615381</v>
      </c>
      <c r="G42" s="24"/>
      <c r="H42" s="24"/>
      <c r="I42" s="24"/>
      <c r="J42" s="27"/>
    </row>
    <row r="43" spans="1:10" x14ac:dyDescent="0.2">
      <c r="A43" s="24" t="s">
        <v>14</v>
      </c>
      <c r="B43" s="64">
        <v>95</v>
      </c>
      <c r="C43" s="24" t="s">
        <v>17</v>
      </c>
      <c r="D43" s="24">
        <f>B8*B43/100</f>
        <v>6650</v>
      </c>
      <c r="E43" s="24"/>
      <c r="F43" s="26"/>
      <c r="G43" s="24"/>
      <c r="H43" s="24"/>
      <c r="I43" s="25"/>
      <c r="J43" s="27"/>
    </row>
    <row r="44" spans="1:10" x14ac:dyDescent="0.2">
      <c r="A44" s="24" t="s">
        <v>36</v>
      </c>
      <c r="B44" s="64">
        <v>12</v>
      </c>
      <c r="C44" s="24" t="s">
        <v>24</v>
      </c>
      <c r="D44" s="24"/>
      <c r="E44" s="24"/>
      <c r="F44" s="26"/>
      <c r="G44" s="24"/>
      <c r="H44" s="24"/>
      <c r="I44" s="25">
        <f>B9*B44/100</f>
        <v>7560</v>
      </c>
      <c r="J44" s="27"/>
    </row>
    <row r="45" spans="1:10" x14ac:dyDescent="0.2">
      <c r="A45" s="24" t="s">
        <v>15</v>
      </c>
      <c r="B45" s="24"/>
      <c r="C45" s="24"/>
      <c r="D45" s="24">
        <v>50</v>
      </c>
      <c r="E45" s="24">
        <v>40</v>
      </c>
      <c r="F45" s="25">
        <v>40</v>
      </c>
      <c r="G45" s="24">
        <v>40</v>
      </c>
      <c r="H45" s="24">
        <v>40</v>
      </c>
      <c r="I45" s="25">
        <v>40</v>
      </c>
      <c r="J45" s="27">
        <v>20</v>
      </c>
    </row>
    <row r="46" spans="1:10" ht="5.25" customHeight="1" x14ac:dyDescent="0.2">
      <c r="A46" s="99"/>
      <c r="B46" s="100"/>
      <c r="C46" s="101"/>
      <c r="D46" s="24"/>
      <c r="E46" s="24"/>
      <c r="F46" s="24"/>
      <c r="G46" s="24"/>
      <c r="H46" s="24"/>
      <c r="I46" s="24"/>
      <c r="J46" s="24"/>
    </row>
    <row r="47" spans="1:10" s="23" customFormat="1" ht="15" x14ac:dyDescent="0.25">
      <c r="A47" s="96" t="s">
        <v>18</v>
      </c>
      <c r="B47" s="97"/>
      <c r="C47" s="98"/>
      <c r="D47" s="53">
        <f>SUM(D39:D45)</f>
        <v>6700</v>
      </c>
      <c r="E47" s="53">
        <f t="shared" ref="E47:I47" si="3">SUM(E39:E45)</f>
        <v>6340</v>
      </c>
      <c r="F47" s="53">
        <f>SUM(F39:F45)</f>
        <v>4078.4615384615381</v>
      </c>
      <c r="G47" s="53">
        <f>SUM(G39:G45)</f>
        <v>2956.666666666667</v>
      </c>
      <c r="H47" s="53">
        <f>SUM(H39:H45)</f>
        <v>5080</v>
      </c>
      <c r="I47" s="53">
        <f t="shared" si="3"/>
        <v>7600</v>
      </c>
      <c r="J47" s="53">
        <v>20</v>
      </c>
    </row>
    <row r="48" spans="1:10" x14ac:dyDescent="0.2">
      <c r="A48" s="3"/>
      <c r="B48" s="3"/>
      <c r="C48" s="3"/>
      <c r="D48" s="3"/>
      <c r="E48" s="3"/>
      <c r="F48" s="3"/>
      <c r="G48" s="3"/>
      <c r="H48" s="3"/>
      <c r="J48" s="3"/>
    </row>
    <row r="50" spans="1:11" ht="33.75" x14ac:dyDescent="0.2">
      <c r="A50" s="105" t="s">
        <v>72</v>
      </c>
      <c r="B50" s="106"/>
      <c r="C50" s="107"/>
      <c r="D50" s="45" t="s">
        <v>6</v>
      </c>
      <c r="E50" s="45" t="s">
        <v>25</v>
      </c>
      <c r="F50" s="45" t="s">
        <v>34</v>
      </c>
      <c r="G50" s="45" t="s">
        <v>33</v>
      </c>
      <c r="H50" s="45" t="s">
        <v>5</v>
      </c>
      <c r="I50" s="45" t="s">
        <v>39</v>
      </c>
      <c r="J50" s="45" t="s">
        <v>40</v>
      </c>
    </row>
    <row r="51" spans="1:11" x14ac:dyDescent="0.2">
      <c r="A51" s="93" t="s">
        <v>85</v>
      </c>
      <c r="B51" s="30" t="s">
        <v>70</v>
      </c>
      <c r="C51" s="30"/>
      <c r="D51" s="30">
        <v>20</v>
      </c>
      <c r="E51" s="30">
        <v>20</v>
      </c>
      <c r="F51" s="30">
        <v>20</v>
      </c>
      <c r="G51" s="30">
        <v>25</v>
      </c>
      <c r="H51" s="30">
        <v>20</v>
      </c>
      <c r="I51" s="31">
        <v>30</v>
      </c>
      <c r="J51" s="30">
        <v>25</v>
      </c>
    </row>
    <row r="52" spans="1:11" x14ac:dyDescent="0.2">
      <c r="A52" s="93"/>
      <c r="B52" s="94" t="s">
        <v>68</v>
      </c>
      <c r="C52" s="95"/>
      <c r="D52" s="32">
        <v>6.7000000000000004E-2</v>
      </c>
      <c r="E52" s="32">
        <v>6.7000000000000004E-2</v>
      </c>
      <c r="F52" s="32">
        <v>6.7000000000000004E-2</v>
      </c>
      <c r="G52" s="32">
        <v>5.7500000000000002E-2</v>
      </c>
      <c r="H52" s="32">
        <v>6.7000000000000004E-2</v>
      </c>
      <c r="I52" s="33">
        <v>5.0999999999999997E-2</v>
      </c>
      <c r="J52" s="32">
        <v>5.7500000000000002E-2</v>
      </c>
    </row>
    <row r="53" spans="1:11" x14ac:dyDescent="0.2">
      <c r="A53" s="93"/>
      <c r="B53" s="94" t="s">
        <v>69</v>
      </c>
      <c r="C53" s="95"/>
      <c r="D53" s="34">
        <f>D27*0.067</f>
        <v>1842.5</v>
      </c>
      <c r="E53" s="34">
        <f>E27*0.067</f>
        <v>2144</v>
      </c>
      <c r="F53" s="34">
        <f>F27*0.067</f>
        <v>3517.5</v>
      </c>
      <c r="G53" s="34">
        <f>G27*0.0575</f>
        <v>4582.75</v>
      </c>
      <c r="H53" s="34">
        <f>H27*0.067</f>
        <v>2713.5</v>
      </c>
      <c r="I53" s="34">
        <f>I27*0.051</f>
        <v>739.5</v>
      </c>
      <c r="J53" s="34">
        <f>J27*0.0575</f>
        <v>1173</v>
      </c>
    </row>
    <row r="54" spans="1:11" x14ac:dyDescent="0.2">
      <c r="A54" s="30" t="s">
        <v>19</v>
      </c>
      <c r="B54" s="30"/>
      <c r="C54" s="30"/>
      <c r="D54" s="30">
        <f>D35</f>
        <v>900</v>
      </c>
      <c r="E54" s="30">
        <f t="shared" ref="E54:J54" si="4">E35</f>
        <v>750</v>
      </c>
      <c r="F54" s="30">
        <f>F35</f>
        <v>250</v>
      </c>
      <c r="G54" s="30">
        <f>G35</f>
        <v>150</v>
      </c>
      <c r="H54" s="30">
        <f>H35</f>
        <v>650</v>
      </c>
      <c r="I54" s="30">
        <f t="shared" si="4"/>
        <v>50</v>
      </c>
      <c r="J54" s="30">
        <f t="shared" si="4"/>
        <v>20</v>
      </c>
    </row>
    <row r="55" spans="1:11" x14ac:dyDescent="0.2">
      <c r="A55" s="30" t="s">
        <v>78</v>
      </c>
      <c r="B55" s="30"/>
      <c r="C55" s="30"/>
      <c r="D55" s="34">
        <f>D47</f>
        <v>6700</v>
      </c>
      <c r="E55" s="34">
        <f t="shared" ref="E55:J55" si="5">E47</f>
        <v>6340</v>
      </c>
      <c r="F55" s="34">
        <f>F47</f>
        <v>4078.4615384615381</v>
      </c>
      <c r="G55" s="34">
        <f>G47</f>
        <v>2956.666666666667</v>
      </c>
      <c r="H55" s="34">
        <f>H47</f>
        <v>5080</v>
      </c>
      <c r="I55" s="34">
        <f t="shared" si="5"/>
        <v>7600</v>
      </c>
      <c r="J55" s="34">
        <f t="shared" si="5"/>
        <v>20</v>
      </c>
    </row>
    <row r="56" spans="1:11" x14ac:dyDescent="0.2">
      <c r="A56" s="30" t="s">
        <v>75</v>
      </c>
      <c r="B56" s="64">
        <v>60</v>
      </c>
      <c r="C56" s="30" t="s">
        <v>76</v>
      </c>
      <c r="D56" s="34">
        <f>B3*0.26/1000*B56</f>
        <v>1092</v>
      </c>
      <c r="E56" s="34">
        <f>B3*0.2/1000*B56</f>
        <v>840</v>
      </c>
      <c r="F56" s="34">
        <v>0</v>
      </c>
      <c r="G56" s="34">
        <v>0</v>
      </c>
      <c r="H56" s="34">
        <v>0</v>
      </c>
      <c r="I56" s="34">
        <v>0</v>
      </c>
      <c r="J56" s="30">
        <v>0</v>
      </c>
    </row>
    <row r="57" spans="1:11" ht="7.5" customHeight="1" x14ac:dyDescent="0.2">
      <c r="A57" s="30"/>
      <c r="B57" s="30"/>
      <c r="C57" s="30"/>
      <c r="D57" s="30"/>
      <c r="E57" s="30"/>
      <c r="F57" s="30"/>
      <c r="G57" s="30"/>
      <c r="H57" s="30"/>
      <c r="I57" s="31"/>
      <c r="J57" s="34"/>
    </row>
    <row r="58" spans="1:11" ht="15" x14ac:dyDescent="0.25">
      <c r="A58" s="36" t="s">
        <v>73</v>
      </c>
      <c r="B58" s="36"/>
      <c r="C58" s="36"/>
      <c r="D58" s="37">
        <f t="shared" ref="D58:J58" si="6">SUM(D53:D55)</f>
        <v>9442.5</v>
      </c>
      <c r="E58" s="37">
        <f t="shared" si="6"/>
        <v>9234</v>
      </c>
      <c r="F58" s="37">
        <f t="shared" si="6"/>
        <v>7845.9615384615381</v>
      </c>
      <c r="G58" s="37">
        <f t="shared" si="6"/>
        <v>7689.416666666667</v>
      </c>
      <c r="H58" s="37">
        <f t="shared" si="6"/>
        <v>8443.5</v>
      </c>
      <c r="I58" s="37">
        <f t="shared" si="6"/>
        <v>8389.5</v>
      </c>
      <c r="J58" s="37">
        <f t="shared" si="6"/>
        <v>1213</v>
      </c>
    </row>
    <row r="59" spans="1:11" ht="6" customHeight="1" x14ac:dyDescent="0.2">
      <c r="A59" s="30"/>
      <c r="B59" s="30"/>
      <c r="C59" s="30"/>
      <c r="D59" s="30"/>
      <c r="E59" s="30"/>
      <c r="F59" s="30"/>
      <c r="G59" s="30"/>
      <c r="H59" s="30"/>
      <c r="I59" s="31"/>
      <c r="J59" s="30"/>
    </row>
    <row r="60" spans="1:11" ht="15" x14ac:dyDescent="0.25">
      <c r="A60" s="36" t="s">
        <v>22</v>
      </c>
      <c r="B60" s="36"/>
      <c r="C60" s="36"/>
      <c r="D60" s="36">
        <f>ROUND(D58/$B$3*100,1)</f>
        <v>13.5</v>
      </c>
      <c r="E60" s="36">
        <f t="shared" ref="E60:I60" si="7">ROUND(E58/$B$3*100,1)</f>
        <v>13.2</v>
      </c>
      <c r="F60" s="36">
        <f>ROUND(F58/$B$3*100,1)</f>
        <v>11.2</v>
      </c>
      <c r="G60" s="36">
        <f>ROUND(G58/$B$3*100,1)</f>
        <v>11</v>
      </c>
      <c r="H60" s="36">
        <f>ROUND(H58/$B$3*100,1)</f>
        <v>12.1</v>
      </c>
      <c r="I60" s="36">
        <f t="shared" si="7"/>
        <v>12</v>
      </c>
      <c r="J60" s="36">
        <f>ROUND(J58/5400*100,1)</f>
        <v>22.5</v>
      </c>
    </row>
    <row r="63" spans="1:11" ht="33.75" x14ac:dyDescent="0.2">
      <c r="A63" s="84" t="s">
        <v>82</v>
      </c>
      <c r="B63" s="85"/>
      <c r="C63" s="86"/>
      <c r="D63" s="73" t="s">
        <v>6</v>
      </c>
      <c r="E63" s="73" t="s">
        <v>25</v>
      </c>
      <c r="F63" s="73" t="s">
        <v>34</v>
      </c>
      <c r="G63" s="73" t="s">
        <v>33</v>
      </c>
      <c r="H63" s="73" t="s">
        <v>5</v>
      </c>
      <c r="I63" s="73" t="s">
        <v>36</v>
      </c>
      <c r="J63" s="73" t="s">
        <v>40</v>
      </c>
    </row>
    <row r="64" spans="1:11" s="9" customFormat="1" ht="15" x14ac:dyDescent="0.25">
      <c r="A64" s="76" t="s">
        <v>83</v>
      </c>
      <c r="B64" s="76" t="s">
        <v>84</v>
      </c>
      <c r="C64" s="76"/>
      <c r="D64" s="77">
        <f>B8*2.977/1000</f>
        <v>20.838999999999999</v>
      </c>
      <c r="E64" s="77">
        <f>B5*2.279/1000</f>
        <v>15.952999999999999</v>
      </c>
      <c r="F64" s="77">
        <f>B7*0.139/1000</f>
        <v>3.7423076923076923</v>
      </c>
      <c r="G64" s="77">
        <f>B4*0.139/1000</f>
        <v>2.7027777777777784</v>
      </c>
      <c r="H64" s="77">
        <f>B6*0.0344</f>
        <v>0.48160000000000003</v>
      </c>
      <c r="I64" s="77">
        <f>B3/5000*0.023</f>
        <v>0.32200000000000001</v>
      </c>
      <c r="J64" s="76"/>
      <c r="K64" s="40"/>
    </row>
    <row r="65" spans="1:10" ht="12.75" x14ac:dyDescent="0.2">
      <c r="A65" s="83" t="s">
        <v>89</v>
      </c>
      <c r="B65" s="83" t="s">
        <v>92</v>
      </c>
      <c r="C65" s="80"/>
      <c r="D65" s="80"/>
      <c r="E65" s="81">
        <f>D64-E64</f>
        <v>4.8859999999999992</v>
      </c>
      <c r="F65" s="81">
        <f>D64-G65</f>
        <v>2.7027777777777793</v>
      </c>
      <c r="G65" s="81">
        <f>D64-G64</f>
        <v>18.136222222222219</v>
      </c>
      <c r="H65" s="81">
        <f>D64-H64</f>
        <v>20.357399999999998</v>
      </c>
      <c r="I65" s="81">
        <f>D64-I64</f>
        <v>20.516999999999999</v>
      </c>
      <c r="J65" s="80"/>
    </row>
    <row r="66" spans="1:10" ht="12.75" x14ac:dyDescent="0.2">
      <c r="A66" s="83" t="s">
        <v>89</v>
      </c>
      <c r="B66" s="83" t="s">
        <v>90</v>
      </c>
      <c r="C66" s="80"/>
      <c r="D66" s="80"/>
      <c r="E66" s="82">
        <f>E65/D64</f>
        <v>0.23446422573060124</v>
      </c>
      <c r="F66" s="82">
        <f>F65/D64</f>
        <v>0.12969805546224769</v>
      </c>
      <c r="G66" s="82">
        <f>G65/D64</f>
        <v>0.87030194453775234</v>
      </c>
      <c r="H66" s="82">
        <f>H65/D64</f>
        <v>0.97688948605979176</v>
      </c>
      <c r="I66" s="82">
        <f>I65/D64</f>
        <v>0.98454820288881428</v>
      </c>
      <c r="J66" s="80"/>
    </row>
  </sheetData>
  <mergeCells count="12">
    <mergeCell ref="A46:C46"/>
    <mergeCell ref="A47:C47"/>
    <mergeCell ref="A11:C11"/>
    <mergeCell ref="A25:C25"/>
    <mergeCell ref="A27:C27"/>
    <mergeCell ref="A29:C29"/>
    <mergeCell ref="A38:C38"/>
    <mergeCell ref="A63:C63"/>
    <mergeCell ref="A50:C50"/>
    <mergeCell ref="A51:A53"/>
    <mergeCell ref="B52:C52"/>
    <mergeCell ref="B53:C53"/>
  </mergeCells>
  <phoneticPr fontId="0" type="noConversion"/>
  <pageMargins left="0.2" right="0.11" top="0.59" bottom="0.69" header="0.4921259845" footer="0.4921259845"/>
  <pageSetup paperSize="9" scale="76" orientation="landscape" verticalDpi="300" r:id="rId1"/>
  <headerFooter alignWithMargins="0"/>
  <rowBreaks count="4" manualBreakCount="4">
    <brk id="36" max="16383" man="1"/>
    <brk id="67" max="10" man="1"/>
    <brk id="98" max="10" man="1"/>
    <brk id="127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9" sqref="B9"/>
    </sheetView>
  </sheetViews>
  <sheetFormatPr baseColWidth="10" defaultRowHeight="12.75" x14ac:dyDescent="0.2"/>
  <cols>
    <col min="1" max="1" width="15.5703125" customWidth="1"/>
  </cols>
  <sheetData>
    <row r="1" spans="1:2" x14ac:dyDescent="0.2">
      <c r="A1" t="s">
        <v>64</v>
      </c>
    </row>
    <row r="3" spans="1:2" x14ac:dyDescent="0.2">
      <c r="A3" t="s">
        <v>65</v>
      </c>
      <c r="B3" s="20">
        <v>0.03</v>
      </c>
    </row>
    <row r="4" spans="1:2" x14ac:dyDescent="0.2">
      <c r="A4" t="s">
        <v>66</v>
      </c>
      <c r="B4" s="22">
        <v>25</v>
      </c>
    </row>
    <row r="5" spans="1:2" x14ac:dyDescent="0.2">
      <c r="A5" s="23" t="s">
        <v>67</v>
      </c>
      <c r="B5" s="21">
        <f>PMT(B3,B4,1)*-1</f>
        <v>5.7427871039127797E-2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15000 kWh</vt:lpstr>
      <vt:lpstr>30000 kWh</vt:lpstr>
      <vt:lpstr>60000 kWh</vt:lpstr>
      <vt:lpstr>Annuitätenrechner</vt:lpstr>
      <vt:lpstr>'15000 kWh'!Druckbereich</vt:lpstr>
      <vt:lpstr>'30000 kWh'!Druckbereich</vt:lpstr>
      <vt:lpstr>'60000 kWh'!Druckbereich</vt:lpstr>
    </vt:vector>
  </TitlesOfParts>
  <Company>Lignaplan Waldstatt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 Denise;Irene Fässler</dc:creator>
  <cp:lastModifiedBy>divwin</cp:lastModifiedBy>
  <cp:lastPrinted>2015-08-21T09:19:58Z</cp:lastPrinted>
  <dcterms:created xsi:type="dcterms:W3CDTF">2003-02-26T15:07:04Z</dcterms:created>
  <dcterms:modified xsi:type="dcterms:W3CDTF">2016-08-10T14:00:32Z</dcterms:modified>
</cp:coreProperties>
</file>