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ster Unterlagen-Formulare\"/>
    </mc:Choice>
  </mc:AlternateContent>
  <xr:revisionPtr revIDLastSave="0" documentId="13_ncr:1_{856BE882-F59C-4241-AD30-A91DC50CF4A0}" xr6:coauthVersionLast="38" xr6:coauthVersionMax="38" xr10:uidLastSave="{00000000-0000-0000-0000-000000000000}"/>
  <bookViews>
    <workbookView xWindow="480" yWindow="135" windowWidth="7980" windowHeight="3420" xr2:uid="{00000000-000D-0000-FFFF-FFFF00000000}"/>
  </bookViews>
  <sheets>
    <sheet name="15000 kWh" sheetId="5" r:id="rId1"/>
    <sheet name="30000 kWh" sheetId="1" r:id="rId2"/>
    <sheet name="60000 kWh" sheetId="4" r:id="rId3"/>
    <sheet name="Annuitätenrechner" sheetId="2" r:id="rId4"/>
    <sheet name="Tabelle3" sheetId="3" r:id="rId5"/>
  </sheets>
  <definedNames>
    <definedName name="_xlnm.Print_Area" localSheetId="0">'15000 kWh'!$A$1:$L$157</definedName>
    <definedName name="_xlnm.Print_Area" localSheetId="1">'30000 kWh'!$A$1:$L$159</definedName>
    <definedName name="_xlnm.Print_Area" localSheetId="2">'60000 kWh'!$A$1:$K$157</definedName>
  </definedNames>
  <calcPr calcId="181029"/>
</workbook>
</file>

<file path=xl/calcChain.xml><?xml version="1.0" encoding="utf-8"?>
<calcChain xmlns="http://schemas.openxmlformats.org/spreadsheetml/2006/main">
  <c r="E32" i="5" l="1"/>
  <c r="B5" i="4" l="1"/>
  <c r="E68" i="4" s="1"/>
  <c r="B5" i="1"/>
  <c r="E70" i="1" s="1"/>
  <c r="B5" i="5"/>
  <c r="E69" i="5" s="1"/>
  <c r="E45" i="1" l="1"/>
  <c r="E45" i="5"/>
  <c r="E44" i="4"/>
  <c r="H4" i="4"/>
  <c r="I4" i="1"/>
  <c r="G16" i="1" s="1"/>
  <c r="H4" i="5"/>
  <c r="G16" i="5" s="1"/>
  <c r="F23" i="4" l="1"/>
  <c r="F24" i="1"/>
  <c r="F24" i="5"/>
  <c r="G43" i="4" l="1"/>
  <c r="B4" i="4"/>
  <c r="G68" i="4" s="1"/>
  <c r="G44" i="1"/>
  <c r="G44" i="5"/>
  <c r="B4" i="5"/>
  <c r="G69" i="5" s="1"/>
  <c r="B7" i="1"/>
  <c r="F70" i="1" s="1"/>
  <c r="B4" i="1"/>
  <c r="G70" i="1" s="1"/>
  <c r="F47" i="1"/>
  <c r="F46" i="4"/>
  <c r="B7" i="4"/>
  <c r="F68" i="4" s="1"/>
  <c r="F47" i="5"/>
  <c r="B7" i="5"/>
  <c r="F69" i="5" s="1"/>
  <c r="I70" i="1" l="1"/>
  <c r="I69" i="5"/>
  <c r="J70" i="1" l="1"/>
  <c r="I68" i="4"/>
  <c r="J69" i="5" l="1"/>
  <c r="D60" i="4" l="1"/>
  <c r="E60" i="4"/>
  <c r="D62" i="1"/>
  <c r="E62" i="1"/>
  <c r="D61" i="5"/>
  <c r="E61" i="5"/>
  <c r="J59" i="4" l="1"/>
  <c r="K61" i="1"/>
  <c r="B5" i="2"/>
  <c r="G15" i="4"/>
  <c r="G23" i="4" s="1"/>
  <c r="G27" i="4" s="1"/>
  <c r="G24" i="1"/>
  <c r="G28" i="1" s="1"/>
  <c r="G32" i="1" s="1"/>
  <c r="I5" i="1"/>
  <c r="G24" i="5"/>
  <c r="I24" i="5"/>
  <c r="I40" i="5"/>
  <c r="I59" i="5" s="1"/>
  <c r="B10" i="5"/>
  <c r="I50" i="5" s="1"/>
  <c r="I52" i="5" s="1"/>
  <c r="I60" i="5" s="1"/>
  <c r="E24" i="5"/>
  <c r="E40" i="5"/>
  <c r="E59" i="5" s="1"/>
  <c r="H24" i="5"/>
  <c r="H40" i="5"/>
  <c r="H59" i="5" s="1"/>
  <c r="G40" i="5"/>
  <c r="G59" i="5" s="1"/>
  <c r="G52" i="5"/>
  <c r="G60" i="5" s="1"/>
  <c r="B9" i="1"/>
  <c r="I49" i="1" s="1"/>
  <c r="I53" i="1" s="1"/>
  <c r="I61" i="1" s="1"/>
  <c r="I40" i="1"/>
  <c r="I60" i="1" s="1"/>
  <c r="I24" i="1"/>
  <c r="I28" i="1" s="1"/>
  <c r="I32" i="1" s="1"/>
  <c r="K60" i="5"/>
  <c r="F52" i="5"/>
  <c r="F60" i="5" s="1"/>
  <c r="K40" i="5"/>
  <c r="K59" i="5" s="1"/>
  <c r="J40" i="5"/>
  <c r="J59" i="5" s="1"/>
  <c r="D40" i="5"/>
  <c r="D59" i="5" s="1"/>
  <c r="F40" i="5"/>
  <c r="F59" i="5" s="1"/>
  <c r="K24" i="5"/>
  <c r="J24" i="5"/>
  <c r="D24" i="5"/>
  <c r="F28" i="5"/>
  <c r="B9" i="5"/>
  <c r="J49" i="5" s="1"/>
  <c r="J52" i="5" s="1"/>
  <c r="J60" i="5" s="1"/>
  <c r="B8" i="5"/>
  <c r="B6" i="5"/>
  <c r="H5" i="5"/>
  <c r="H5" i="4"/>
  <c r="F51" i="4"/>
  <c r="G51" i="4"/>
  <c r="J39" i="4"/>
  <c r="J58" i="4" s="1"/>
  <c r="I39" i="4"/>
  <c r="D39" i="4"/>
  <c r="D58" i="4" s="1"/>
  <c r="F39" i="4"/>
  <c r="H39" i="4"/>
  <c r="E39" i="4"/>
  <c r="G39" i="4"/>
  <c r="G58" i="4" s="1"/>
  <c r="J23" i="4"/>
  <c r="J27" i="4" s="1"/>
  <c r="J31" i="4" s="1"/>
  <c r="J57" i="4" s="1"/>
  <c r="I23" i="4"/>
  <c r="I27" i="4" s="1"/>
  <c r="I31" i="4" s="1"/>
  <c r="D23" i="4"/>
  <c r="D27" i="4" s="1"/>
  <c r="D31" i="4" s="1"/>
  <c r="B8" i="4"/>
  <c r="B9" i="4"/>
  <c r="I48" i="4" s="1"/>
  <c r="I51" i="4" s="1"/>
  <c r="F27" i="4"/>
  <c r="H23" i="4"/>
  <c r="H27" i="4" s="1"/>
  <c r="E23" i="4"/>
  <c r="E27" i="4" s="1"/>
  <c r="E31" i="4" s="1"/>
  <c r="B6" i="4"/>
  <c r="H68" i="4" s="1"/>
  <c r="F53" i="1"/>
  <c r="F61" i="1" s="1"/>
  <c r="B10" i="1"/>
  <c r="J50" i="1" s="1"/>
  <c r="J53" i="1" s="1"/>
  <c r="J61" i="1" s="1"/>
  <c r="J24" i="1"/>
  <c r="J28" i="1" s="1"/>
  <c r="J32" i="1" s="1"/>
  <c r="J40" i="1"/>
  <c r="J60" i="1" s="1"/>
  <c r="B6" i="1"/>
  <c r="H70" i="1" s="1"/>
  <c r="H46" i="1"/>
  <c r="H53" i="1" s="1"/>
  <c r="H61" i="1" s="1"/>
  <c r="K24" i="1"/>
  <c r="K28" i="1" s="1"/>
  <c r="K40" i="1"/>
  <c r="K60" i="1" s="1"/>
  <c r="E53" i="1"/>
  <c r="E61" i="1" s="1"/>
  <c r="F28" i="1"/>
  <c r="F40" i="1"/>
  <c r="F60" i="1" s="1"/>
  <c r="B8" i="1"/>
  <c r="D24" i="1"/>
  <c r="D28" i="1" s="1"/>
  <c r="D32" i="1" s="1"/>
  <c r="D40" i="1"/>
  <c r="D60" i="1" s="1"/>
  <c r="H24" i="1"/>
  <c r="H28" i="1" s="1"/>
  <c r="H32" i="1" s="1"/>
  <c r="H40" i="1"/>
  <c r="H60" i="1" s="1"/>
  <c r="E24" i="1"/>
  <c r="E28" i="1" s="1"/>
  <c r="E32" i="1" s="1"/>
  <c r="E40" i="1"/>
  <c r="E60" i="1" s="1"/>
  <c r="G53" i="1"/>
  <c r="G61" i="1" s="1"/>
  <c r="G40" i="1"/>
  <c r="G60" i="1" s="1"/>
  <c r="G31" i="4" l="1"/>
  <c r="G57" i="4" s="1"/>
  <c r="H57" i="4"/>
  <c r="H31" i="4"/>
  <c r="F59" i="1"/>
  <c r="F32" i="1"/>
  <c r="F57" i="4"/>
  <c r="F31" i="4"/>
  <c r="F58" i="5"/>
  <c r="F32" i="5"/>
  <c r="F64" i="1"/>
  <c r="F66" i="1" s="1"/>
  <c r="D57" i="4"/>
  <c r="K28" i="5"/>
  <c r="K32" i="5" s="1"/>
  <c r="D28" i="5"/>
  <c r="D32" i="5" s="1"/>
  <c r="I28" i="5"/>
  <c r="I32" i="5" s="1"/>
  <c r="H59" i="1"/>
  <c r="H64" i="1" s="1"/>
  <c r="H66" i="1" s="1"/>
  <c r="K32" i="1"/>
  <c r="K59" i="1" s="1"/>
  <c r="K64" i="1" s="1"/>
  <c r="K66" i="1" s="1"/>
  <c r="J59" i="1"/>
  <c r="J64" i="1" s="1"/>
  <c r="J66" i="1" s="1"/>
  <c r="E57" i="4"/>
  <c r="J28" i="5"/>
  <c r="J32" i="5" s="1"/>
  <c r="I59" i="1"/>
  <c r="I64" i="1" s="1"/>
  <c r="I66" i="1" s="1"/>
  <c r="E28" i="5"/>
  <c r="G28" i="5"/>
  <c r="E59" i="1"/>
  <c r="E64" i="1" s="1"/>
  <c r="E66" i="1" s="1"/>
  <c r="D59" i="1"/>
  <c r="I57" i="4"/>
  <c r="H28" i="5"/>
  <c r="H32" i="5" s="1"/>
  <c r="G59" i="1"/>
  <c r="G64" i="1" s="1"/>
  <c r="G66" i="1" s="1"/>
  <c r="H45" i="4"/>
  <c r="H51" i="4" s="1"/>
  <c r="E51" i="4"/>
  <c r="D48" i="1"/>
  <c r="D53" i="1" s="1"/>
  <c r="D61" i="1" s="1"/>
  <c r="D70" i="1"/>
  <c r="D47" i="4"/>
  <c r="D51" i="4" s="1"/>
  <c r="D59" i="4" s="1"/>
  <c r="D68" i="4"/>
  <c r="E52" i="5"/>
  <c r="E60" i="5" s="1"/>
  <c r="H46" i="5"/>
  <c r="H52" i="5" s="1"/>
  <c r="H60" i="5" s="1"/>
  <c r="H69" i="5"/>
  <c r="D48" i="5"/>
  <c r="D52" i="5" s="1"/>
  <c r="D60" i="5" s="1"/>
  <c r="D69" i="5"/>
  <c r="F63" i="5"/>
  <c r="F65" i="5" s="1"/>
  <c r="F59" i="4"/>
  <c r="E59" i="4"/>
  <c r="H58" i="4"/>
  <c r="I59" i="4"/>
  <c r="F58" i="4"/>
  <c r="J62" i="4"/>
  <c r="J64" i="4" s="1"/>
  <c r="I58" i="4"/>
  <c r="E58" i="4"/>
  <c r="H59" i="4"/>
  <c r="G59" i="4"/>
  <c r="G32" i="5" l="1"/>
  <c r="G58" i="5" s="1"/>
  <c r="G63" i="5" s="1"/>
  <c r="G65" i="5" s="1"/>
  <c r="D64" i="1"/>
  <c r="D66" i="1" s="1"/>
  <c r="E58" i="5"/>
  <c r="E63" i="5" s="1"/>
  <c r="E65" i="5" s="1"/>
  <c r="D58" i="5"/>
  <c r="D63" i="5" s="1"/>
  <c r="D65" i="5" s="1"/>
  <c r="J58" i="5"/>
  <c r="J63" i="5" s="1"/>
  <c r="J65" i="5" s="1"/>
  <c r="H58" i="5"/>
  <c r="H63" i="5" s="1"/>
  <c r="H65" i="5" s="1"/>
  <c r="I58" i="5"/>
  <c r="I63" i="5" s="1"/>
  <c r="I65" i="5" s="1"/>
  <c r="K58" i="5"/>
  <c r="K63" i="5" s="1"/>
  <c r="K65" i="5" s="1"/>
  <c r="D62" i="4"/>
  <c r="D64" i="4" s="1"/>
  <c r="E62" i="4"/>
  <c r="E64" i="4" s="1"/>
  <c r="H71" i="1"/>
  <c r="H72" i="1" s="1"/>
  <c r="F71" i="1"/>
  <c r="F72" i="1" s="1"/>
  <c r="I71" i="1"/>
  <c r="I72" i="1" s="1"/>
  <c r="G71" i="1"/>
  <c r="G72" i="1" s="1"/>
  <c r="J71" i="1"/>
  <c r="J72" i="1" s="1"/>
  <c r="E71" i="1"/>
  <c r="E72" i="1" s="1"/>
  <c r="F69" i="4"/>
  <c r="F70" i="4" s="1"/>
  <c r="H69" i="4"/>
  <c r="H70" i="4" s="1"/>
  <c r="E69" i="4"/>
  <c r="E70" i="4" s="1"/>
  <c r="I69" i="4"/>
  <c r="I70" i="4" s="1"/>
  <c r="G69" i="4"/>
  <c r="G70" i="4" s="1"/>
  <c r="H70" i="5"/>
  <c r="H71" i="5" s="1"/>
  <c r="G70" i="5"/>
  <c r="G71" i="5" s="1"/>
  <c r="J70" i="5"/>
  <c r="J71" i="5" s="1"/>
  <c r="F70" i="5"/>
  <c r="F71" i="5" s="1"/>
  <c r="I70" i="5"/>
  <c r="I71" i="5" s="1"/>
  <c r="E70" i="5"/>
  <c r="E71" i="5" s="1"/>
  <c r="G62" i="4"/>
  <c r="G64" i="4" s="1"/>
  <c r="H62" i="4"/>
  <c r="H64" i="4" s="1"/>
  <c r="F62" i="4"/>
  <c r="F64" i="4" s="1"/>
  <c r="I62" i="4"/>
  <c r="I64" i="4" s="1"/>
</calcChain>
</file>

<file path=xl/sharedStrings.xml><?xml version="1.0" encoding="utf-8"?>
<sst xmlns="http://schemas.openxmlformats.org/spreadsheetml/2006/main" count="353" uniqueCount="104">
  <si>
    <t>Jahresverbrauch</t>
  </si>
  <si>
    <t>kWh</t>
  </si>
  <si>
    <t>l Öl</t>
  </si>
  <si>
    <t>t Pellets</t>
  </si>
  <si>
    <t>Investitionen</t>
  </si>
  <si>
    <t>Pellets</t>
  </si>
  <si>
    <t>Heizöl</t>
  </si>
  <si>
    <t>Montage, Inbetriebnahme</t>
  </si>
  <si>
    <t>Bauseitige Leistungen (Maurer, Stromer)</t>
  </si>
  <si>
    <t>Betrieb und Unterhalt</t>
  </si>
  <si>
    <t>Kaminfeger</t>
  </si>
  <si>
    <t>Abgaskontrolle</t>
  </si>
  <si>
    <t>Total Betrieb</t>
  </si>
  <si>
    <t>Total Investitionen</t>
  </si>
  <si>
    <t>Öko-Heizöl</t>
  </si>
  <si>
    <t>Strom für Antriebe und Pumpen</t>
  </si>
  <si>
    <t>CHF / Tonne</t>
  </si>
  <si>
    <t>CHF / 100 Liter</t>
  </si>
  <si>
    <t>Total Energie</t>
  </si>
  <si>
    <t>Betriebskosten</t>
  </si>
  <si>
    <t>Energiekosten</t>
  </si>
  <si>
    <t>m²</t>
  </si>
  <si>
    <t>Wärmekosten [Rp./kWh]</t>
  </si>
  <si>
    <t>Energiebezugsfläche EBF</t>
  </si>
  <si>
    <t>Rp./kWh</t>
  </si>
  <si>
    <t>Gas</t>
  </si>
  <si>
    <t>kWh/(m²xJahr)</t>
  </si>
  <si>
    <t>Strom L/W-WP</t>
  </si>
  <si>
    <t>Strom Erdsonde-WP</t>
  </si>
  <si>
    <t>kWh Strom Erdsonde-Wärmepumpe</t>
  </si>
  <si>
    <t>kWh Strom Luft-Wasser-Wärmepumpe</t>
  </si>
  <si>
    <t>WP Sonde</t>
  </si>
  <si>
    <t>WP Luft</t>
  </si>
  <si>
    <t>inkl. Warmwasser</t>
  </si>
  <si>
    <t>Fernwärme</t>
  </si>
  <si>
    <t>kWh Fernwärme</t>
  </si>
  <si>
    <t>Fern-wärme</t>
  </si>
  <si>
    <t>Solares Warm-wasser</t>
  </si>
  <si>
    <t>Stückholz</t>
  </si>
  <si>
    <t>CHF/Ster</t>
  </si>
  <si>
    <t>CHF/100 Liter</t>
  </si>
  <si>
    <t>Ster Hartholz</t>
  </si>
  <si>
    <t>Ster Stückholz</t>
  </si>
  <si>
    <t>Fr./Ster (50cm)</t>
  </si>
  <si>
    <t>Sondenlänge</t>
  </si>
  <si>
    <t>Energiekennzahl Wärme</t>
  </si>
  <si>
    <t>Expansion, Heizverteilung, Heizkörper</t>
  </si>
  <si>
    <t>Demontage Heizung / Tank</t>
  </si>
  <si>
    <t>Austragung</t>
  </si>
  <si>
    <t xml:space="preserve">Austragung </t>
  </si>
  <si>
    <t>Boiler / Wärmespeicher</t>
  </si>
  <si>
    <t>Adresse</t>
  </si>
  <si>
    <t>m</t>
  </si>
  <si>
    <t>Sonde / Kanäle</t>
  </si>
  <si>
    <t>Silo / Anschluss</t>
  </si>
  <si>
    <t xml:space="preserve">Pellets </t>
  </si>
  <si>
    <t>Kessel / Wärmetauscher / WP</t>
  </si>
  <si>
    <t>Förderung Gemeinde / EVU</t>
  </si>
  <si>
    <t>Förderung Kanton</t>
  </si>
  <si>
    <t>Annuitätenrechner</t>
  </si>
  <si>
    <t>Zinssatz</t>
  </si>
  <si>
    <t>Dauer (Jahre)</t>
  </si>
  <si>
    <t>Annuität in %</t>
  </si>
  <si>
    <t>Annuität (%)</t>
  </si>
  <si>
    <t>Kapitalkosten pro Jahr</t>
  </si>
  <si>
    <t>Dauer der Abschreibung (Jahre)</t>
  </si>
  <si>
    <t>Total Energiekosten pro Jahr</t>
  </si>
  <si>
    <t>Jahreskosten (Fr)</t>
  </si>
  <si>
    <t>Förderung Gemeinden / EVU</t>
  </si>
  <si>
    <t>Solares Warm-Wasser</t>
  </si>
  <si>
    <t>Energiekosten (inkl. CO2)</t>
  </si>
  <si>
    <t>Tankreinigung / Gaszähler</t>
  </si>
  <si>
    <t>Service / Reparaturen</t>
  </si>
  <si>
    <t>Tankreinigung  Gaszähler</t>
  </si>
  <si>
    <t>Umweltbelastung</t>
  </si>
  <si>
    <t xml:space="preserve">Fossiles CO2 </t>
  </si>
  <si>
    <t>Tonnen / Jahr</t>
  </si>
  <si>
    <t>Kapitalkosten, Annuität gerechnet mit  3% Zins</t>
  </si>
  <si>
    <t xml:space="preserve">Abgasanlage (Kamin) </t>
  </si>
  <si>
    <t>Solares Warmwasser mit 6m² Kollektorfläche</t>
  </si>
  <si>
    <t>Solares Warmwasser mit 12m² Kollektorfläche</t>
  </si>
  <si>
    <t>Einsparung CO2</t>
  </si>
  <si>
    <t>in %</t>
  </si>
  <si>
    <t>Tonnen / Jahr gegenüber Heizöl</t>
  </si>
  <si>
    <t>tonnen / Jahr gegenüber Heizöl</t>
  </si>
  <si>
    <t>Jahreskosten und Kosten / kWh</t>
  </si>
  <si>
    <t>Nettoinvestitionen *</t>
  </si>
  <si>
    <t xml:space="preserve">* Angaben +/- 20% </t>
  </si>
  <si>
    <t>* Angaben +/- 20%</t>
  </si>
  <si>
    <t>Nettoinvestitionen*</t>
  </si>
  <si>
    <t>CO2 Abgabe; heute 96 Fr./t</t>
  </si>
  <si>
    <t>plus; möglich bis 2012</t>
  </si>
  <si>
    <t>plus; möglich bis  2020</t>
  </si>
  <si>
    <t xml:space="preserve">plus; möglich bis 2020 </t>
  </si>
  <si>
    <t>kWh Gas</t>
  </si>
  <si>
    <t>Steuereinsparung einmalig</t>
  </si>
  <si>
    <t xml:space="preserve">Annahme 16% </t>
  </si>
  <si>
    <t>WP Sonde*</t>
  </si>
  <si>
    <t>WP Luft*</t>
  </si>
  <si>
    <t xml:space="preserve">* CH Verbrauchermix (ohne Erneuerbare) </t>
  </si>
  <si>
    <t>Annahme 16%</t>
  </si>
  <si>
    <t>Heizsystem-Kostenvergleich Impulsberatung mit X Liter Öl</t>
  </si>
  <si>
    <t>Heizsystem-Kostenvergleich Impulsberatung mit ?? Liter ÖL</t>
  </si>
  <si>
    <t>Heizsystem-Kostenvergleich Impulsberatung mit ?? Liter 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</si>
</sst>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Fr.&quot;\ #,##0.00;[Red]&quot;Fr.&quot;\ \-#,##0.00"/>
    <numFmt numFmtId="164" formatCode="0.0"/>
    <numFmt numFmtId="165" formatCode="#,##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3" fontId="5" fillId="2" borderId="0" xfId="0" applyNumberFormat="1" applyFont="1" applyFill="1"/>
    <xf numFmtId="3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8" fillId="0" borderId="0" xfId="0" applyFont="1"/>
    <xf numFmtId="0" fontId="6" fillId="0" borderId="0" xfId="0" applyFont="1"/>
    <xf numFmtId="3" fontId="5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0" fontId="14" fillId="0" borderId="0" xfId="0" applyFont="1"/>
    <xf numFmtId="164" fontId="5" fillId="0" borderId="0" xfId="0" applyNumberFormat="1" applyFont="1" applyAlignment="1">
      <alignment horizontal="right"/>
    </xf>
    <xf numFmtId="3" fontId="5" fillId="3" borderId="0" xfId="0" applyNumberFormat="1" applyFont="1" applyFill="1"/>
    <xf numFmtId="0" fontId="5" fillId="3" borderId="0" xfId="0" applyFont="1" applyFill="1"/>
    <xf numFmtId="8" fontId="0" fillId="0" borderId="0" xfId="0" applyNumberFormat="1"/>
    <xf numFmtId="10" fontId="16" fillId="4" borderId="0" xfId="1" applyNumberFormat="1" applyFont="1" applyFill="1"/>
    <xf numFmtId="10" fontId="2" fillId="4" borderId="0" xfId="1" applyNumberFormat="1" applyFont="1" applyFill="1"/>
    <xf numFmtId="0" fontId="0" fillId="4" borderId="0" xfId="0" applyFill="1"/>
    <xf numFmtId="0" fontId="9" fillId="0" borderId="0" xfId="0" applyFont="1"/>
    <xf numFmtId="0" fontId="5" fillId="5" borderId="1" xfId="0" applyFont="1" applyFill="1" applyBorder="1"/>
    <xf numFmtId="1" fontId="5" fillId="5" borderId="1" xfId="0" applyNumberFormat="1" applyFont="1" applyFill="1" applyBorder="1"/>
    <xf numFmtId="0" fontId="0" fillId="5" borderId="1" xfId="0" applyFill="1" applyBorder="1"/>
    <xf numFmtId="0" fontId="11" fillId="5" borderId="1" xfId="0" applyFont="1" applyFill="1" applyBorder="1"/>
    <xf numFmtId="1" fontId="15" fillId="5" borderId="1" xfId="0" applyNumberFormat="1" applyFont="1" applyFill="1" applyBorder="1"/>
    <xf numFmtId="0" fontId="6" fillId="5" borderId="1" xfId="0" applyFont="1" applyFill="1" applyBorder="1"/>
    <xf numFmtId="0" fontId="5" fillId="6" borderId="1" xfId="0" applyFont="1" applyFill="1" applyBorder="1"/>
    <xf numFmtId="0" fontId="11" fillId="6" borderId="1" xfId="0" applyFont="1" applyFill="1" applyBorder="1"/>
    <xf numFmtId="10" fontId="5" fillId="6" borderId="1" xfId="0" applyNumberFormat="1" applyFont="1" applyFill="1" applyBorder="1"/>
    <xf numFmtId="10" fontId="11" fillId="6" borderId="1" xfId="0" applyNumberFormat="1" applyFont="1" applyFill="1" applyBorder="1"/>
    <xf numFmtId="1" fontId="5" fillId="6" borderId="1" xfId="0" applyNumberFormat="1" applyFont="1" applyFill="1" applyBorder="1"/>
    <xf numFmtId="0" fontId="0" fillId="6" borderId="1" xfId="0" applyFill="1" applyBorder="1"/>
    <xf numFmtId="0" fontId="6" fillId="6" borderId="1" xfId="0" applyFont="1" applyFill="1" applyBorder="1"/>
    <xf numFmtId="1" fontId="6" fillId="6" borderId="1" xfId="0" applyNumberFormat="1" applyFont="1" applyFill="1" applyBorder="1"/>
    <xf numFmtId="0" fontId="15" fillId="7" borderId="0" xfId="0" applyFont="1" applyFill="1" applyBorder="1" applyAlignment="1">
      <alignment horizontal="left"/>
    </xf>
    <xf numFmtId="1" fontId="15" fillId="7" borderId="0" xfId="0" applyNumberFormat="1" applyFont="1" applyFill="1" applyBorder="1"/>
    <xf numFmtId="0" fontId="6" fillId="7" borderId="0" xfId="0" applyFont="1" applyFill="1" applyBorder="1"/>
    <xf numFmtId="0" fontId="0" fillId="7" borderId="0" xfId="0" applyFill="1"/>
    <xf numFmtId="10" fontId="16" fillId="7" borderId="0" xfId="1" applyNumberFormat="1" applyFont="1" applyFill="1"/>
    <xf numFmtId="0" fontId="5" fillId="8" borderId="1" xfId="0" applyFont="1" applyFill="1" applyBorder="1"/>
    <xf numFmtId="0" fontId="11" fillId="8" borderId="1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9" borderId="1" xfId="0" applyFont="1" applyFill="1" applyBorder="1"/>
    <xf numFmtId="0" fontId="13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/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3" fillId="8" borderId="1" xfId="0" applyFont="1" applyFill="1" applyBorder="1"/>
    <xf numFmtId="1" fontId="6" fillId="5" borderId="1" xfId="0" applyNumberFormat="1" applyFont="1" applyFill="1" applyBorder="1"/>
    <xf numFmtId="10" fontId="9" fillId="0" borderId="0" xfId="1" applyNumberFormat="1" applyFont="1"/>
    <xf numFmtId="0" fontId="6" fillId="8" borderId="1" xfId="0" applyFont="1" applyFill="1" applyBorder="1"/>
    <xf numFmtId="0" fontId="6" fillId="9" borderId="1" xfId="0" applyFont="1" applyFill="1" applyBorder="1"/>
    <xf numFmtId="0" fontId="5" fillId="0" borderId="0" xfId="0" applyFont="1" applyAlignment="1"/>
    <xf numFmtId="0" fontId="6" fillId="9" borderId="1" xfId="0" applyFont="1" applyFill="1" applyBorder="1" applyAlignment="1"/>
    <xf numFmtId="0" fontId="2" fillId="0" borderId="0" xfId="0" applyFont="1" applyAlignment="1"/>
    <xf numFmtId="0" fontId="6" fillId="0" borderId="0" xfId="0" applyFont="1" applyAlignment="1"/>
    <xf numFmtId="0" fontId="6" fillId="8" borderId="1" xfId="0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right" wrapText="1"/>
    </xf>
    <xf numFmtId="0" fontId="5" fillId="3" borderId="1" xfId="0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2" fillId="7" borderId="0" xfId="0" applyFont="1" applyFill="1" applyAlignment="1"/>
    <xf numFmtId="0" fontId="13" fillId="1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/>
    <xf numFmtId="0" fontId="6" fillId="10" borderId="1" xfId="0" applyFont="1" applyFill="1" applyBorder="1"/>
    <xf numFmtId="164" fontId="6" fillId="10" borderId="1" xfId="0" applyNumberFormat="1" applyFont="1" applyFill="1" applyBorder="1"/>
    <xf numFmtId="1" fontId="0" fillId="5" borderId="1" xfId="0" applyNumberFormat="1" applyFill="1" applyBorder="1"/>
    <xf numFmtId="1" fontId="6" fillId="5" borderId="1" xfId="0" applyNumberFormat="1" applyFont="1" applyFill="1" applyBorder="1" applyAlignment="1">
      <alignment horizontal="right" wrapText="1"/>
    </xf>
    <xf numFmtId="0" fontId="0" fillId="10" borderId="1" xfId="0" applyFill="1" applyBorder="1"/>
    <xf numFmtId="164" fontId="0" fillId="10" borderId="1" xfId="0" applyNumberFormat="1" applyFill="1" applyBorder="1"/>
    <xf numFmtId="9" fontId="0" fillId="10" borderId="1" xfId="0" applyNumberFormat="1" applyFill="1" applyBorder="1"/>
    <xf numFmtId="0" fontId="9" fillId="10" borderId="1" xfId="0" applyFont="1" applyFill="1" applyBorder="1"/>
    <xf numFmtId="0" fontId="5" fillId="4" borderId="1" xfId="0" applyFont="1" applyFill="1" applyBorder="1"/>
    <xf numFmtId="0" fontId="8" fillId="4" borderId="1" xfId="0" applyFont="1" applyFill="1" applyBorder="1"/>
    <xf numFmtId="0" fontId="11" fillId="4" borderId="1" xfId="0" applyFont="1" applyFill="1" applyBorder="1"/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800" b="1"/>
              <a:t>Jahreskosten</a:t>
            </a:r>
          </a:p>
        </c:rich>
      </c:tx>
      <c:layout>
        <c:manualLayout>
          <c:xMode val="edge"/>
          <c:yMode val="edge"/>
          <c:x val="0.42131815008723894"/>
          <c:y val="2.4048096192384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802953562387"/>
          <c:y val="0.12466518276597569"/>
          <c:w val="0.58115735813742919"/>
          <c:h val="0.66345710855573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'15000 kWh'!$A$56:$A$58</c:f>
              <c:strCache>
                <c:ptCount val="1"/>
                <c:pt idx="0">
                  <c:v>Kapitalkosten, Annuität gerechnet mit  3% Zins</c:v>
                </c:pt>
              </c:strCache>
            </c:strRef>
          </c:tx>
          <c:invertIfNegative val="0"/>
          <c:cat>
            <c:strRef>
              <c:f>'15000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kWh'!$D$58:$J$58</c:f>
              <c:numCache>
                <c:formatCode>0</c:formatCode>
                <c:ptCount val="7"/>
                <c:pt idx="0">
                  <c:v>1266.3000000000002</c:v>
                </c:pt>
                <c:pt idx="1">
                  <c:v>1266.3000000000002</c:v>
                </c:pt>
                <c:pt idx="2">
                  <c:v>1632.1200000000001</c:v>
                </c:pt>
                <c:pt idx="3">
                  <c:v>2242.7580000000003</c:v>
                </c:pt>
                <c:pt idx="4">
                  <c:v>1632.1200000000001</c:v>
                </c:pt>
                <c:pt idx="5">
                  <c:v>1407</c:v>
                </c:pt>
                <c:pt idx="6">
                  <c:v>872.34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4-4D38-A303-B0D6A88C9BAD}"/>
            </c:ext>
          </c:extLst>
        </c:ser>
        <c:ser>
          <c:idx val="1"/>
          <c:order val="1"/>
          <c:tx>
            <c:strRef>
              <c:f>'15000 kWh'!$A$59:$C$59</c:f>
              <c:strCache>
                <c:ptCount val="3"/>
                <c:pt idx="0">
                  <c:v>Betriebskosten</c:v>
                </c:pt>
              </c:strCache>
            </c:strRef>
          </c:tx>
          <c:invertIfNegative val="0"/>
          <c:cat>
            <c:strRef>
              <c:f>'15000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kWh'!$D$59:$J$59</c:f>
              <c:numCache>
                <c:formatCode>General</c:formatCode>
                <c:ptCount val="7"/>
                <c:pt idx="0">
                  <c:v>630</c:v>
                </c:pt>
                <c:pt idx="1">
                  <c:v>530</c:v>
                </c:pt>
                <c:pt idx="2">
                  <c:v>150</c:v>
                </c:pt>
                <c:pt idx="3">
                  <c:v>100</c:v>
                </c:pt>
                <c:pt idx="4">
                  <c:v>530</c:v>
                </c:pt>
                <c:pt idx="5">
                  <c:v>430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4-4D38-A303-B0D6A88C9BAD}"/>
            </c:ext>
          </c:extLst>
        </c:ser>
        <c:ser>
          <c:idx val="2"/>
          <c:order val="2"/>
          <c:tx>
            <c:strRef>
              <c:f>'15000 kWh'!$A$60:$C$60</c:f>
              <c:strCache>
                <c:ptCount val="3"/>
                <c:pt idx="0">
                  <c:v>Energiekosten (inkl. CO2)</c:v>
                </c:pt>
              </c:strCache>
            </c:strRef>
          </c:tx>
          <c:invertIfNegative val="0"/>
          <c:cat>
            <c:strRef>
              <c:f>'15000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kWh'!$D$60:$J$60</c:f>
              <c:numCache>
                <c:formatCode>0</c:formatCode>
                <c:ptCount val="7"/>
                <c:pt idx="0">
                  <c:v>1930</c:v>
                </c:pt>
                <c:pt idx="1">
                  <c:v>1990</c:v>
                </c:pt>
                <c:pt idx="2">
                  <c:v>1327.6923076923076</c:v>
                </c:pt>
                <c:pt idx="3">
                  <c:v>964.44444444444457</c:v>
                </c:pt>
                <c:pt idx="4">
                  <c:v>1510</c:v>
                </c:pt>
                <c:pt idx="5">
                  <c:v>1705.977653631285</c:v>
                </c:pt>
                <c:pt idx="6">
                  <c:v>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4-4D38-A303-B0D6A88C9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98483584"/>
        <c:axId val="98485376"/>
      </c:barChart>
      <c:catAx>
        <c:axId val="984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8485376"/>
        <c:crosses val="autoZero"/>
        <c:auto val="1"/>
        <c:lblAlgn val="ctr"/>
        <c:lblOffset val="100"/>
        <c:noMultiLvlLbl val="0"/>
      </c:catAx>
      <c:valAx>
        <c:axId val="98485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Fr. por Jahr</a:t>
                </a:r>
              </a:p>
            </c:rich>
          </c:tx>
          <c:layout>
            <c:manualLayout>
              <c:xMode val="edge"/>
              <c:yMode val="edge"/>
              <c:x val="2.9411775880246575E-2"/>
              <c:y val="0.3633332287647311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84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25009622341099"/>
          <c:y val="0.34423976562047981"/>
          <c:w val="0.24974990377658901"/>
          <c:h val="0.2806179287709276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Wärmekosten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0511538816106"/>
          <c:y val="0.13062499064109373"/>
          <c:w val="0.84051372400394697"/>
          <c:h val="0.7853277690555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'15000 kWh'!$A$65:$C$65</c:f>
              <c:strCache>
                <c:ptCount val="3"/>
                <c:pt idx="0">
                  <c:v>Wärmekosten [Rp./kWh]</c:v>
                </c:pt>
              </c:strCache>
            </c:strRef>
          </c:tx>
          <c:invertIfNegative val="0"/>
          <c:cat>
            <c:strRef>
              <c:f>'15000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kWh'!$D$65:$J$65</c:f>
              <c:numCache>
                <c:formatCode>General</c:formatCode>
                <c:ptCount val="7"/>
                <c:pt idx="0">
                  <c:v>19.100000000000001</c:v>
                </c:pt>
                <c:pt idx="1">
                  <c:v>18.899999999999999</c:v>
                </c:pt>
                <c:pt idx="2">
                  <c:v>15.5</c:v>
                </c:pt>
                <c:pt idx="3">
                  <c:v>16.5</c:v>
                </c:pt>
                <c:pt idx="4">
                  <c:v>18.399999999999999</c:v>
                </c:pt>
                <c:pt idx="5">
                  <c:v>17.7</c:v>
                </c:pt>
                <c:pt idx="6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3-4FD6-A40C-3DFFA61A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47072"/>
        <c:axId val="97348608"/>
      </c:barChart>
      <c:catAx>
        <c:axId val="973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7348608"/>
        <c:crosses val="autoZero"/>
        <c:auto val="1"/>
        <c:lblAlgn val="ctr"/>
        <c:lblOffset val="100"/>
        <c:noMultiLvlLbl val="0"/>
      </c:catAx>
      <c:valAx>
        <c:axId val="97348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Rp. pro kWh</a:t>
                </a:r>
              </a:p>
            </c:rich>
          </c:tx>
          <c:layout>
            <c:manualLayout>
              <c:xMode val="edge"/>
              <c:yMode val="edge"/>
              <c:x val="2.1745012965816247E-2"/>
              <c:y val="0.39245172478440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7347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Umweltbelastung</a:t>
            </a:r>
          </a:p>
        </c:rich>
      </c:tx>
      <c:layout>
        <c:manualLayout>
          <c:xMode val="edge"/>
          <c:yMode val="edge"/>
          <c:x val="0.39403211155913204"/>
          <c:y val="3.770001239974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49428529833515"/>
          <c:y val="0.14219393519457221"/>
          <c:w val="0.83945785050746757"/>
          <c:h val="0.7572143362331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'15000 kWh'!$A$68:$B$68</c:f>
              <c:strCache>
                <c:ptCount val="2"/>
                <c:pt idx="0">
                  <c:v>Umweltbelastung</c:v>
                </c:pt>
              </c:strCache>
            </c:strRef>
          </c:tx>
          <c:invertIfNegative val="0"/>
          <c:cat>
            <c:strRef>
              <c:f>'15000 kWh'!$D$68:$J$68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Luft*</c:v>
                </c:pt>
                <c:pt idx="3">
                  <c:v>WP Sonde*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kWh'!$D$69:$J$69</c:f>
              <c:numCache>
                <c:formatCode>0.0</c:formatCode>
                <c:ptCount val="7"/>
                <c:pt idx="0">
                  <c:v>5.9539999999999997</c:v>
                </c:pt>
                <c:pt idx="1">
                  <c:v>4.5999999999999996</c:v>
                </c:pt>
                <c:pt idx="2">
                  <c:v>0.78461538461538449</c:v>
                </c:pt>
                <c:pt idx="3">
                  <c:v>0.56666666666666665</c:v>
                </c:pt>
                <c:pt idx="4">
                  <c:v>0.1376</c:v>
                </c:pt>
                <c:pt idx="5">
                  <c:v>0.12290502793296089</c:v>
                </c:pt>
                <c:pt idx="6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A-4426-91FE-B0F48012E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97369088"/>
        <c:axId val="97383168"/>
      </c:barChart>
      <c:catAx>
        <c:axId val="9736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97383168"/>
        <c:crosses val="autoZero"/>
        <c:auto val="1"/>
        <c:lblAlgn val="ctr"/>
        <c:lblOffset val="100"/>
        <c:noMultiLvlLbl val="0"/>
      </c:catAx>
      <c:valAx>
        <c:axId val="97383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800"/>
                  <a:t>Tonnen CO</a:t>
                </a:r>
                <a:r>
                  <a:rPr lang="de-CH" sz="1800" baseline="-25000"/>
                  <a:t>2</a:t>
                </a:r>
                <a:r>
                  <a:rPr lang="de-CH" sz="1800"/>
                  <a:t> pro Jahr</a:t>
                </a:r>
              </a:p>
            </c:rich>
          </c:tx>
          <c:layout>
            <c:manualLayout>
              <c:xMode val="edge"/>
              <c:yMode val="edge"/>
              <c:x val="2.4838291355357842E-2"/>
              <c:y val="0.2497872618969692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973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800" b="1"/>
              <a:t>Jahreskosten </a:t>
            </a:r>
          </a:p>
        </c:rich>
      </c:tx>
      <c:layout>
        <c:manualLayout>
          <c:xMode val="edge"/>
          <c:yMode val="edge"/>
          <c:x val="0.42082491765133578"/>
          <c:y val="2.57056504663045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19017883794186"/>
          <c:y val="0.14802241829206159"/>
          <c:w val="0.61659746144480831"/>
          <c:h val="0.66465162376242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'30000 kWh'!$A$57:$A$59</c:f>
              <c:strCache>
                <c:ptCount val="1"/>
                <c:pt idx="0">
                  <c:v>Kapitalkosten, Annuität gerechnet mit  3% Zins</c:v>
                </c:pt>
              </c:strCache>
            </c:strRef>
          </c:tx>
          <c:invertIfNegative val="0"/>
          <c:cat>
            <c:strRef>
              <c:f>'30000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 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kWh'!$D$59:$J$59</c:f>
              <c:numCache>
                <c:formatCode>0</c:formatCode>
                <c:ptCount val="7"/>
                <c:pt idx="0">
                  <c:v>1407</c:v>
                </c:pt>
                <c:pt idx="1">
                  <c:v>1547.7</c:v>
                </c:pt>
                <c:pt idx="2">
                  <c:v>1969.8000000000002</c:v>
                </c:pt>
                <c:pt idx="3">
                  <c:v>3078.5160000000001</c:v>
                </c:pt>
                <c:pt idx="4">
                  <c:v>1829.1000000000001</c:v>
                </c:pt>
                <c:pt idx="5">
                  <c:v>1603.98</c:v>
                </c:pt>
                <c:pt idx="6">
                  <c:v>872.34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A-4B70-8DE3-1A0DEEEF9C44}"/>
            </c:ext>
          </c:extLst>
        </c:ser>
        <c:ser>
          <c:idx val="1"/>
          <c:order val="1"/>
          <c:tx>
            <c:strRef>
              <c:f>'30000 kWh'!$A$60:$C$60</c:f>
              <c:strCache>
                <c:ptCount val="3"/>
                <c:pt idx="0">
                  <c:v>Betriebskosten</c:v>
                </c:pt>
              </c:strCache>
            </c:strRef>
          </c:tx>
          <c:invertIfNegative val="0"/>
          <c:cat>
            <c:strRef>
              <c:f>'30000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 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kWh'!$D$60:$J$60</c:f>
              <c:numCache>
                <c:formatCode>General</c:formatCode>
                <c:ptCount val="7"/>
                <c:pt idx="0">
                  <c:v>650</c:v>
                </c:pt>
                <c:pt idx="1">
                  <c:v>600</c:v>
                </c:pt>
                <c:pt idx="2">
                  <c:v>150</c:v>
                </c:pt>
                <c:pt idx="3">
                  <c:v>100</c:v>
                </c:pt>
                <c:pt idx="4">
                  <c:v>550</c:v>
                </c:pt>
                <c:pt idx="5">
                  <c:v>350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A-4B70-8DE3-1A0DEEEF9C44}"/>
            </c:ext>
          </c:extLst>
        </c:ser>
        <c:ser>
          <c:idx val="2"/>
          <c:order val="2"/>
          <c:tx>
            <c:strRef>
              <c:f>'30000 kWh'!$A$61:$C$61</c:f>
              <c:strCache>
                <c:ptCount val="3"/>
                <c:pt idx="0">
                  <c:v>Energiekosten (inkl. CO2)</c:v>
                </c:pt>
              </c:strCache>
            </c:strRef>
          </c:tx>
          <c:invertIfNegative val="0"/>
          <c:cat>
            <c:strRef>
              <c:f>'30000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 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kWh'!$D$61:$J$61</c:f>
              <c:numCache>
                <c:formatCode>0</c:formatCode>
                <c:ptCount val="7"/>
                <c:pt idx="0">
                  <c:v>2890</c:v>
                </c:pt>
                <c:pt idx="1">
                  <c:v>2880</c:v>
                </c:pt>
                <c:pt idx="2">
                  <c:v>1991.5384615384612</c:v>
                </c:pt>
                <c:pt idx="3">
                  <c:v>1446.666666666667</c:v>
                </c:pt>
                <c:pt idx="4">
                  <c:v>2230</c:v>
                </c:pt>
                <c:pt idx="5">
                  <c:v>2290</c:v>
                </c:pt>
                <c:pt idx="6">
                  <c:v>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A-4B70-8DE3-1A0DEEEF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102349440"/>
        <c:axId val="102355328"/>
      </c:barChart>
      <c:catAx>
        <c:axId val="1023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2355328"/>
        <c:crosses val="autoZero"/>
        <c:auto val="1"/>
        <c:lblAlgn val="ctr"/>
        <c:lblOffset val="100"/>
        <c:noMultiLvlLbl val="0"/>
      </c:catAx>
      <c:valAx>
        <c:axId val="102355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 b="1"/>
                  <a:t>Fr. pro Jahr</a:t>
                </a:r>
              </a:p>
            </c:rich>
          </c:tx>
          <c:layout>
            <c:manualLayout>
              <c:xMode val="edge"/>
              <c:yMode val="edge"/>
              <c:x val="2.8230025577944462E-2"/>
              <c:y val="0.3666649934379748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234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23703155488387"/>
          <c:y val="0.36564041073986131"/>
          <c:w val="0.22815273437905603"/>
          <c:h val="0.2699639250617694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Wärmekosten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23151503939189E-2"/>
          <c:y val="0.11103114132786916"/>
          <c:w val="0.88662416039220704"/>
          <c:h val="0.81306123568413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'30000 kWh'!$A$66:$C$66</c:f>
              <c:strCache>
                <c:ptCount val="3"/>
                <c:pt idx="0">
                  <c:v>Wärmekosten [Rp./kWh]</c:v>
                </c:pt>
              </c:strCache>
            </c:strRef>
          </c:tx>
          <c:invertIfNegative val="0"/>
          <c:cat>
            <c:strRef>
              <c:f>'30000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 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kWh'!$D$66:$J$66</c:f>
              <c:numCache>
                <c:formatCode>General</c:formatCode>
                <c:ptCount val="7"/>
                <c:pt idx="0">
                  <c:v>16.5</c:v>
                </c:pt>
                <c:pt idx="1">
                  <c:v>16.8</c:v>
                </c:pt>
                <c:pt idx="2">
                  <c:v>13.7</c:v>
                </c:pt>
                <c:pt idx="3">
                  <c:v>15.4</c:v>
                </c:pt>
                <c:pt idx="4">
                  <c:v>15.4</c:v>
                </c:pt>
                <c:pt idx="5">
                  <c:v>14.1</c:v>
                </c:pt>
                <c:pt idx="6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40F-8C91-ECF0A9ABF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01504"/>
        <c:axId val="99703040"/>
      </c:barChart>
      <c:catAx>
        <c:axId val="997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9703040"/>
        <c:crosses val="autoZero"/>
        <c:auto val="1"/>
        <c:lblAlgn val="ctr"/>
        <c:lblOffset val="100"/>
        <c:noMultiLvlLbl val="0"/>
      </c:catAx>
      <c:valAx>
        <c:axId val="99703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/>
                  <a:t>Rp. pro kWh</a:t>
                </a:r>
              </a:p>
            </c:rich>
          </c:tx>
          <c:layout>
            <c:manualLayout>
              <c:xMode val="edge"/>
              <c:yMode val="edge"/>
              <c:x val="2.1194330313995553E-2"/>
              <c:y val="0.38710980361438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9701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Umweltbelastung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0010500014514"/>
          <c:y val="0.14259548682222214"/>
          <c:w val="0.87031215862260836"/>
          <c:h val="0.77250765098027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'30000 kWh'!$A$70:$B$70</c:f>
              <c:strCache>
                <c:ptCount val="2"/>
                <c:pt idx="0">
                  <c:v>Fossiles CO2 </c:v>
                </c:pt>
                <c:pt idx="1">
                  <c:v>Tonnen / Jahr</c:v>
                </c:pt>
              </c:strCache>
            </c:strRef>
          </c:tx>
          <c:invertIfNegative val="0"/>
          <c:cat>
            <c:strRef>
              <c:f>'30000 kWh'!$D$69:$J$69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Luft*</c:v>
                </c:pt>
                <c:pt idx="3">
                  <c:v>WP Sonde*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kWh'!$D$70:$J$70</c:f>
              <c:numCache>
                <c:formatCode>0.0</c:formatCode>
                <c:ptCount val="7"/>
                <c:pt idx="0">
                  <c:v>8.9309999999999992</c:v>
                </c:pt>
                <c:pt idx="1">
                  <c:v>6.8369999999999997</c:v>
                </c:pt>
                <c:pt idx="2">
                  <c:v>1.1769230769230767</c:v>
                </c:pt>
                <c:pt idx="3">
                  <c:v>0.85</c:v>
                </c:pt>
                <c:pt idx="4">
                  <c:v>0.2064</c:v>
                </c:pt>
                <c:pt idx="5">
                  <c:v>0.18435754189944131</c:v>
                </c:pt>
                <c:pt idx="6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758-A1F6-8895A6703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32096"/>
        <c:axId val="99733888"/>
      </c:barChart>
      <c:catAx>
        <c:axId val="9973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733888"/>
        <c:crosses val="autoZero"/>
        <c:auto val="1"/>
        <c:lblAlgn val="ctr"/>
        <c:lblOffset val="100"/>
        <c:noMultiLvlLbl val="0"/>
      </c:catAx>
      <c:valAx>
        <c:axId val="99733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Tonnen CO</a:t>
                </a:r>
                <a:r>
                  <a:rPr lang="en-US" sz="1800" baseline="-25000"/>
                  <a:t>2</a:t>
                </a:r>
                <a:r>
                  <a:rPr lang="en-US" sz="1800"/>
                  <a:t> pro Jahr</a:t>
                </a:r>
              </a:p>
            </c:rich>
          </c:tx>
          <c:layout>
            <c:manualLayout>
              <c:xMode val="edge"/>
              <c:yMode val="edge"/>
              <c:x val="2.4273071094176767E-2"/>
              <c:y val="0.2570702689403955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9973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/>
              <a:t>Jahreskosten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268626150490086"/>
          <c:y val="0.13081409344522213"/>
          <c:w val="0.59756464432102963"/>
          <c:h val="0.63987402473055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'60000 kWh'!$A$55:$A$57</c:f>
              <c:strCache>
                <c:ptCount val="1"/>
                <c:pt idx="0">
                  <c:v>Kapitalkosten, Annuität gerechnet mit  3% Zins</c:v>
                </c:pt>
              </c:strCache>
            </c:strRef>
          </c:tx>
          <c:invertIfNegative val="0"/>
          <c:cat>
            <c:strRef>
              <c:f>'60000 kWh'!$D$11:$I$11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kWh'!$D$57:$I$57</c:f>
              <c:numCache>
                <c:formatCode>0</c:formatCode>
                <c:ptCount val="6"/>
                <c:pt idx="0">
                  <c:v>1744.68</c:v>
                </c:pt>
                <c:pt idx="1">
                  <c:v>1800.96</c:v>
                </c:pt>
                <c:pt idx="2">
                  <c:v>3292.38</c:v>
                </c:pt>
                <c:pt idx="3">
                  <c:v>6601.6440000000002</c:v>
                </c:pt>
                <c:pt idx="4">
                  <c:v>2729.5800000000004</c:v>
                </c:pt>
                <c:pt idx="5">
                  <c:v>1491.42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C-460E-A88F-C945A6CA05B1}"/>
            </c:ext>
          </c:extLst>
        </c:ser>
        <c:ser>
          <c:idx val="1"/>
          <c:order val="1"/>
          <c:tx>
            <c:strRef>
              <c:f>'60000 kWh'!$A$58:$C$58</c:f>
              <c:strCache>
                <c:ptCount val="3"/>
                <c:pt idx="0">
                  <c:v>Betriebskosten</c:v>
                </c:pt>
              </c:strCache>
            </c:strRef>
          </c:tx>
          <c:invertIfNegative val="0"/>
          <c:cat>
            <c:strRef>
              <c:f>'60000 kWh'!$D$11:$I$11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kWh'!$D$58:$I$58</c:f>
              <c:numCache>
                <c:formatCode>General</c:formatCode>
                <c:ptCount val="6"/>
                <c:pt idx="0">
                  <c:v>900</c:v>
                </c:pt>
                <c:pt idx="1">
                  <c:v>750</c:v>
                </c:pt>
                <c:pt idx="2">
                  <c:v>250</c:v>
                </c:pt>
                <c:pt idx="3">
                  <c:v>150</c:v>
                </c:pt>
                <c:pt idx="4">
                  <c:v>650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C-460E-A88F-C945A6CA05B1}"/>
            </c:ext>
          </c:extLst>
        </c:ser>
        <c:ser>
          <c:idx val="2"/>
          <c:order val="2"/>
          <c:tx>
            <c:strRef>
              <c:f>'60000 kWh'!$A$59:$C$59</c:f>
              <c:strCache>
                <c:ptCount val="3"/>
                <c:pt idx="0">
                  <c:v>Energiekosten (inkl. CO2)</c:v>
                </c:pt>
              </c:strCache>
            </c:strRef>
          </c:tx>
          <c:invertIfNegative val="0"/>
          <c:cat>
            <c:strRef>
              <c:f>'60000 kWh'!$D$11:$I$11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kWh'!$D$59:$I$59</c:f>
              <c:numCache>
                <c:formatCode>0</c:formatCode>
                <c:ptCount val="6"/>
                <c:pt idx="0">
                  <c:v>8150</c:v>
                </c:pt>
                <c:pt idx="1">
                  <c:v>7440</c:v>
                </c:pt>
                <c:pt idx="2">
                  <c:v>5232.3076923076924</c:v>
                </c:pt>
                <c:pt idx="3">
                  <c:v>3790</c:v>
                </c:pt>
                <c:pt idx="4">
                  <c:v>6520</c:v>
                </c:pt>
                <c:pt idx="5">
                  <c:v>9760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C-460E-A88F-C945A6CA0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99813632"/>
        <c:axId val="99819520"/>
      </c:barChart>
      <c:catAx>
        <c:axId val="998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9819520"/>
        <c:crosses val="autoZero"/>
        <c:auto val="1"/>
        <c:lblAlgn val="ctr"/>
        <c:lblOffset val="100"/>
        <c:noMultiLvlLbl val="0"/>
      </c:catAx>
      <c:valAx>
        <c:axId val="99819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800" b="1"/>
                  <a:t>Fr. pro Jahr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981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2262575319859"/>
          <c:y val="0.36387183347866037"/>
          <c:w val="0.25372869329007758"/>
          <c:h val="0.26897763813445758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Wärmekosten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5729493450215"/>
          <c:y val="0.16655988807672795"/>
          <c:w val="0.86481926542564314"/>
          <c:h val="0.75754823484301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'60000 kWh'!$A$64:$C$64</c:f>
              <c:strCache>
                <c:ptCount val="3"/>
                <c:pt idx="0">
                  <c:v>Wärmekosten [Rp./kWh]</c:v>
                </c:pt>
              </c:strCache>
            </c:strRef>
          </c:tx>
          <c:invertIfNegative val="0"/>
          <c:cat>
            <c:strRef>
              <c:f>'60000 kWh'!$D$11:$I$11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kWh'!$D$64:$I$64</c:f>
              <c:numCache>
                <c:formatCode>General</c:formatCode>
                <c:ptCount val="6"/>
                <c:pt idx="0">
                  <c:v>12</c:v>
                </c:pt>
                <c:pt idx="1">
                  <c:v>11.1</c:v>
                </c:pt>
                <c:pt idx="2">
                  <c:v>9.6999999999999993</c:v>
                </c:pt>
                <c:pt idx="3">
                  <c:v>11.7</c:v>
                </c:pt>
                <c:pt idx="4">
                  <c:v>11</c:v>
                </c:pt>
                <c:pt idx="5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D-4E29-88B3-3434698E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56768"/>
        <c:axId val="99858304"/>
      </c:barChart>
      <c:catAx>
        <c:axId val="998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9858304"/>
        <c:crosses val="autoZero"/>
        <c:auto val="1"/>
        <c:lblAlgn val="ctr"/>
        <c:lblOffset val="100"/>
        <c:noMultiLvlLbl val="0"/>
      </c:catAx>
      <c:valAx>
        <c:axId val="99858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800" b="1"/>
                  <a:t>Rp. pro kWh</a:t>
                </a:r>
              </a:p>
            </c:rich>
          </c:tx>
          <c:layout>
            <c:manualLayout>
              <c:xMode val="edge"/>
              <c:yMode val="edge"/>
              <c:x val="3.2122901064997975E-2"/>
              <c:y val="0.413321208362025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98567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Umweltbelastung</a:t>
            </a:r>
          </a:p>
        </c:rich>
      </c:tx>
      <c:layout>
        <c:manualLayout>
          <c:xMode val="edge"/>
          <c:yMode val="edge"/>
          <c:x val="0.39149408676856567"/>
          <c:y val="3.2423666519270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61318511656633"/>
          <c:y val="0.15264270753444312"/>
          <c:w val="0.84985740311872782"/>
          <c:h val="0.76613064644110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'60000 kWh'!$A$68:$B$68</c:f>
              <c:strCache>
                <c:ptCount val="2"/>
                <c:pt idx="0">
                  <c:v>Fossiles CO2 </c:v>
                </c:pt>
                <c:pt idx="1">
                  <c:v>Tonnen / Jahr</c:v>
                </c:pt>
              </c:strCache>
            </c:strRef>
          </c:tx>
          <c:invertIfNegative val="0"/>
          <c:cat>
            <c:strRef>
              <c:f>'60000 kWh'!$D$67:$I$67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Luft*</c:v>
                </c:pt>
                <c:pt idx="3">
                  <c:v>WP Sonde*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kWh'!$D$68:$I$68</c:f>
              <c:numCache>
                <c:formatCode>0.0</c:formatCode>
                <c:ptCount val="6"/>
                <c:pt idx="0">
                  <c:v>26.792999999999999</c:v>
                </c:pt>
                <c:pt idx="1">
                  <c:v>20.7</c:v>
                </c:pt>
                <c:pt idx="2">
                  <c:v>3.5307692307692307</c:v>
                </c:pt>
                <c:pt idx="3">
                  <c:v>2.5499999999999998</c:v>
                </c:pt>
                <c:pt idx="4">
                  <c:v>0.61919999999999997</c:v>
                </c:pt>
                <c:pt idx="5">
                  <c:v>0.41399999999999998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9-48EE-B078-19F1DC497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4688"/>
        <c:axId val="99876224"/>
      </c:barChart>
      <c:catAx>
        <c:axId val="9987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de-CH" sz="1800"/>
                  <a:t>Tonnen CO</a:t>
                </a:r>
                <a:r>
                  <a:rPr lang="de-CH" sz="1800" baseline="-25000"/>
                  <a:t>2</a:t>
                </a:r>
                <a:r>
                  <a:rPr lang="de-CH" sz="1800"/>
                  <a:t> pro Jahr</a:t>
                </a:r>
              </a:p>
            </c:rich>
          </c:tx>
          <c:layout>
            <c:manualLayout>
              <c:xMode val="edge"/>
              <c:yMode val="edge"/>
              <c:x val="2.8596078431372549E-2"/>
              <c:y val="0.2374265106109639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9987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72</xdr:row>
      <xdr:rowOff>123825</xdr:rowOff>
    </xdr:from>
    <xdr:to>
      <xdr:col>10</xdr:col>
      <xdr:colOff>390525</xdr:colOff>
      <xdr:row>99</xdr:row>
      <xdr:rowOff>19050</xdr:rowOff>
    </xdr:to>
    <xdr:graphicFrame macro="">
      <xdr:nvGraphicFramePr>
        <xdr:cNvPr id="116879" name="Diagramm 4">
          <a:extLst>
            <a:ext uri="{FF2B5EF4-FFF2-40B4-BE49-F238E27FC236}">
              <a16:creationId xmlns:a16="http://schemas.microsoft.com/office/drawing/2014/main" id="{00000000-0008-0000-0000-00008F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220756</xdr:colOff>
      <xdr:row>103</xdr:row>
      <xdr:rowOff>8964</xdr:rowOff>
    </xdr:from>
    <xdr:to>
      <xdr:col>10</xdr:col>
      <xdr:colOff>411256</xdr:colOff>
      <xdr:row>127</xdr:row>
      <xdr:rowOff>31749</xdr:rowOff>
    </xdr:to>
    <xdr:graphicFrame macro="">
      <xdr:nvGraphicFramePr>
        <xdr:cNvPr id="116880" name="Diagramm 2">
          <a:extLst>
            <a:ext uri="{FF2B5EF4-FFF2-40B4-BE49-F238E27FC236}">
              <a16:creationId xmlns:a16="http://schemas.microsoft.com/office/drawing/2014/main" id="{00000000-0008-0000-0000-000090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131</xdr:row>
      <xdr:rowOff>136525</xdr:rowOff>
    </xdr:from>
    <xdr:to>
      <xdr:col>10</xdr:col>
      <xdr:colOff>317500</xdr:colOff>
      <xdr:row>152</xdr:row>
      <xdr:rowOff>116417</xdr:rowOff>
    </xdr:to>
    <xdr:graphicFrame macro="">
      <xdr:nvGraphicFramePr>
        <xdr:cNvPr id="3" name="Diagramm 2" title="Umweltbelastu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341964</xdr:colOff>
      <xdr:row>74</xdr:row>
      <xdr:rowOff>111126</xdr:rowOff>
    </xdr:from>
    <xdr:to>
      <xdr:col>10</xdr:col>
      <xdr:colOff>423334</xdr:colOff>
      <xdr:row>102</xdr:row>
      <xdr:rowOff>14008</xdr:rowOff>
    </xdr:to>
    <xdr:graphicFrame macro="">
      <xdr:nvGraphicFramePr>
        <xdr:cNvPr id="1244" name="Diagramm 4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384547</xdr:colOff>
      <xdr:row>106</xdr:row>
      <xdr:rowOff>118903</xdr:rowOff>
    </xdr:from>
    <xdr:to>
      <xdr:col>10</xdr:col>
      <xdr:colOff>476250</xdr:colOff>
      <xdr:row>133</xdr:row>
      <xdr:rowOff>74082</xdr:rowOff>
    </xdr:to>
    <xdr:graphicFrame macro="">
      <xdr:nvGraphicFramePr>
        <xdr:cNvPr id="1245" name="Diagramm 2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380999</xdr:colOff>
      <xdr:row>136</xdr:row>
      <xdr:rowOff>73023</xdr:rowOff>
    </xdr:from>
    <xdr:to>
      <xdr:col>10</xdr:col>
      <xdr:colOff>455083</xdr:colOff>
      <xdr:row>157</xdr:row>
      <xdr:rowOff>42332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72</xdr:row>
      <xdr:rowOff>135031</xdr:rowOff>
    </xdr:from>
    <xdr:to>
      <xdr:col>10</xdr:col>
      <xdr:colOff>67235</xdr:colOff>
      <xdr:row>99</xdr:row>
      <xdr:rowOff>137583</xdr:rowOff>
    </xdr:to>
    <xdr:graphicFrame macro="">
      <xdr:nvGraphicFramePr>
        <xdr:cNvPr id="46257" name="Diagramm 4">
          <a:extLst>
            <a:ext uri="{FF2B5EF4-FFF2-40B4-BE49-F238E27FC236}">
              <a16:creationId xmlns:a16="http://schemas.microsoft.com/office/drawing/2014/main" id="{00000000-0008-0000-0200-0000B1B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355226</xdr:colOff>
      <xdr:row>104</xdr:row>
      <xdr:rowOff>154640</xdr:rowOff>
    </xdr:from>
    <xdr:to>
      <xdr:col>10</xdr:col>
      <xdr:colOff>89646</xdr:colOff>
      <xdr:row>131</xdr:row>
      <xdr:rowOff>52915</xdr:rowOff>
    </xdr:to>
    <xdr:graphicFrame macro="">
      <xdr:nvGraphicFramePr>
        <xdr:cNvPr id="46258" name="Diagramm 2">
          <a:extLst>
            <a:ext uri="{FF2B5EF4-FFF2-40B4-BE49-F238E27FC236}">
              <a16:creationId xmlns:a16="http://schemas.microsoft.com/office/drawing/2014/main" id="{00000000-0008-0000-0200-0000B2B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359833</xdr:colOff>
      <xdr:row>133</xdr:row>
      <xdr:rowOff>125942</xdr:rowOff>
    </xdr:from>
    <xdr:to>
      <xdr:col>10</xdr:col>
      <xdr:colOff>84666</xdr:colOff>
      <xdr:row>155</xdr:row>
      <xdr:rowOff>84667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9"/>
  <sheetViews>
    <sheetView tabSelected="1" zoomScale="90" zoomScaleNormal="90" workbookViewId="0">
      <selection activeCell="E33" sqref="E33"/>
    </sheetView>
  </sheetViews>
  <sheetFormatPr baseColWidth="10" defaultRowHeight="14.25" x14ac:dyDescent="0.2"/>
  <cols>
    <col min="1" max="1" width="26.42578125" customWidth="1"/>
    <col min="3" max="3" width="21.85546875" customWidth="1"/>
    <col min="4" max="4" width="9.140625" customWidth="1"/>
    <col min="5" max="5" width="9.42578125" customWidth="1"/>
    <col min="6" max="6" width="9.140625" customWidth="1"/>
    <col min="7" max="7" width="10.28515625" customWidth="1"/>
    <col min="8" max="8" width="8.85546875" customWidth="1"/>
    <col min="9" max="9" width="11.85546875" style="12" customWidth="1"/>
    <col min="10" max="10" width="10.7109375" style="12" bestFit="1" customWidth="1"/>
    <col min="11" max="11" width="9.140625" customWidth="1"/>
    <col min="12" max="12" width="4.28515625" customWidth="1"/>
  </cols>
  <sheetData>
    <row r="1" spans="1:11" ht="18" x14ac:dyDescent="0.25">
      <c r="A1" s="2" t="s">
        <v>101</v>
      </c>
      <c r="E1" s="15" t="s">
        <v>51</v>
      </c>
    </row>
    <row r="2" spans="1:11" ht="5.85" customHeight="1" x14ac:dyDescent="0.2"/>
    <row r="3" spans="1:11" x14ac:dyDescent="0.2">
      <c r="A3" s="3" t="s">
        <v>0</v>
      </c>
      <c r="B3" s="4">
        <v>20000</v>
      </c>
      <c r="C3" s="3" t="s">
        <v>1</v>
      </c>
      <c r="D3" s="3"/>
      <c r="E3" s="3"/>
      <c r="F3" s="3"/>
      <c r="G3" s="14" t="s">
        <v>23</v>
      </c>
      <c r="H3" s="18">
        <v>192</v>
      </c>
      <c r="I3" s="3" t="s">
        <v>21</v>
      </c>
      <c r="J3" s="3"/>
    </row>
    <row r="4" spans="1:11" x14ac:dyDescent="0.2">
      <c r="A4" s="3" t="s">
        <v>33</v>
      </c>
      <c r="B4" s="10">
        <f>B3/3.6</f>
        <v>5555.5555555555557</v>
      </c>
      <c r="C4" s="3" t="s">
        <v>29</v>
      </c>
      <c r="D4" s="3"/>
      <c r="E4" s="3"/>
      <c r="F4" s="3"/>
      <c r="G4" s="14" t="s">
        <v>44</v>
      </c>
      <c r="H4" s="7">
        <f>(3/4*B3/70)</f>
        <v>214.28571428571428</v>
      </c>
      <c r="I4" s="3" t="s">
        <v>52</v>
      </c>
      <c r="K4" s="3"/>
    </row>
    <row r="5" spans="1:11" x14ac:dyDescent="0.2">
      <c r="A5" s="3"/>
      <c r="B5" s="5">
        <f>B3*1</f>
        <v>20000</v>
      </c>
      <c r="C5" s="3" t="s">
        <v>94</v>
      </c>
      <c r="D5" s="3"/>
      <c r="E5" s="3"/>
      <c r="F5" s="3"/>
      <c r="G5" s="14" t="s">
        <v>45</v>
      </c>
      <c r="H5" s="7">
        <f>B3/H3</f>
        <v>104.16666666666667</v>
      </c>
      <c r="I5" s="3" t="s">
        <v>26</v>
      </c>
      <c r="J5" s="11"/>
    </row>
    <row r="6" spans="1:11" x14ac:dyDescent="0.2">
      <c r="A6" s="3"/>
      <c r="B6" s="6">
        <f>B3/5000</f>
        <v>4</v>
      </c>
      <c r="C6" s="3" t="s">
        <v>3</v>
      </c>
      <c r="D6" s="3"/>
      <c r="E6" s="3"/>
      <c r="F6" s="3"/>
      <c r="G6" s="3"/>
      <c r="H6" s="3"/>
      <c r="K6" s="3"/>
    </row>
    <row r="7" spans="1:11" x14ac:dyDescent="0.2">
      <c r="A7" s="3"/>
      <c r="B7" s="5">
        <f>B3/2.6</f>
        <v>7692.3076923076924</v>
      </c>
      <c r="C7" s="3" t="s">
        <v>30</v>
      </c>
      <c r="D7" s="3"/>
      <c r="E7" s="3"/>
      <c r="F7" s="3"/>
      <c r="G7" s="3"/>
      <c r="H7" s="3"/>
      <c r="K7" s="3"/>
    </row>
    <row r="8" spans="1:11" x14ac:dyDescent="0.2">
      <c r="A8" s="3"/>
      <c r="B8" s="5">
        <f>B3/10</f>
        <v>2000</v>
      </c>
      <c r="C8" s="3" t="s">
        <v>2</v>
      </c>
      <c r="D8" s="3"/>
      <c r="E8" s="3"/>
      <c r="F8" s="3"/>
      <c r="G8" s="3"/>
      <c r="H8" s="3"/>
      <c r="K8" s="3"/>
    </row>
    <row r="9" spans="1:11" x14ac:dyDescent="0.2">
      <c r="A9" s="3"/>
      <c r="B9" s="5">
        <f>B3*0.9</f>
        <v>18000</v>
      </c>
      <c r="C9" s="3" t="s">
        <v>35</v>
      </c>
      <c r="D9" s="3"/>
      <c r="E9" s="3"/>
      <c r="F9" s="3"/>
      <c r="G9" s="3" t="s">
        <v>79</v>
      </c>
      <c r="H9" s="3"/>
      <c r="K9" s="3"/>
    </row>
    <row r="10" spans="1:11" x14ac:dyDescent="0.2">
      <c r="A10" s="3"/>
      <c r="B10" s="5">
        <f>B3/1790</f>
        <v>11.173184357541899</v>
      </c>
      <c r="C10" s="3" t="s">
        <v>42</v>
      </c>
      <c r="D10" s="3"/>
      <c r="E10" s="3"/>
      <c r="F10" s="3"/>
      <c r="G10" s="3"/>
      <c r="H10" s="3"/>
      <c r="K10" s="3"/>
    </row>
    <row r="11" spans="1:11" x14ac:dyDescent="0.2">
      <c r="A11" s="3"/>
      <c r="B11" s="5"/>
      <c r="C11" s="3"/>
      <c r="D11" s="3"/>
      <c r="E11" s="3"/>
      <c r="F11" s="3"/>
      <c r="G11" s="3"/>
      <c r="H11" s="3"/>
      <c r="K11" s="3"/>
    </row>
    <row r="12" spans="1:11" ht="36" customHeight="1" x14ac:dyDescent="0.2">
      <c r="A12" s="92" t="s">
        <v>4</v>
      </c>
      <c r="B12" s="93"/>
      <c r="C12" s="94"/>
      <c r="D12" s="50" t="s">
        <v>6</v>
      </c>
      <c r="E12" s="50" t="s">
        <v>25</v>
      </c>
      <c r="F12" s="50" t="s">
        <v>32</v>
      </c>
      <c r="G12" s="50" t="s">
        <v>31</v>
      </c>
      <c r="H12" s="50" t="s">
        <v>5</v>
      </c>
      <c r="I12" s="50" t="s">
        <v>38</v>
      </c>
      <c r="J12" s="50" t="s">
        <v>34</v>
      </c>
      <c r="K12" s="50" t="s">
        <v>37</v>
      </c>
    </row>
    <row r="13" spans="1:11" ht="15" x14ac:dyDescent="0.2">
      <c r="A13" s="43" t="s">
        <v>54</v>
      </c>
      <c r="B13" s="43"/>
      <c r="C13" s="43"/>
      <c r="D13" s="43">
        <v>0</v>
      </c>
      <c r="E13" s="43">
        <v>5000</v>
      </c>
      <c r="F13" s="43">
        <v>0</v>
      </c>
      <c r="G13" s="43">
        <v>0</v>
      </c>
      <c r="H13" s="43">
        <v>5000</v>
      </c>
      <c r="I13" s="43">
        <v>0</v>
      </c>
      <c r="J13" s="43">
        <v>8000</v>
      </c>
      <c r="K13" s="52"/>
    </row>
    <row r="14" spans="1:11" ht="15" x14ac:dyDescent="0.2">
      <c r="A14" s="43" t="s">
        <v>47</v>
      </c>
      <c r="B14" s="43"/>
      <c r="C14" s="43"/>
      <c r="D14" s="43">
        <v>2500</v>
      </c>
      <c r="E14" s="43">
        <v>2500</v>
      </c>
      <c r="F14" s="43">
        <v>2500</v>
      </c>
      <c r="G14" s="43">
        <v>2500</v>
      </c>
      <c r="H14" s="43">
        <v>2500</v>
      </c>
      <c r="I14" s="43">
        <v>2500</v>
      </c>
      <c r="J14" s="43">
        <v>2500</v>
      </c>
      <c r="K14" s="52"/>
    </row>
    <row r="15" spans="1:11" x14ac:dyDescent="0.2">
      <c r="A15" s="43" t="s">
        <v>56</v>
      </c>
      <c r="B15" s="43"/>
      <c r="C15" s="43"/>
      <c r="D15" s="43">
        <v>8000</v>
      </c>
      <c r="E15" s="43">
        <v>5000</v>
      </c>
      <c r="F15" s="43">
        <v>13000</v>
      </c>
      <c r="G15" s="43">
        <v>14000</v>
      </c>
      <c r="H15" s="43">
        <v>15000</v>
      </c>
      <c r="I15" s="43">
        <v>15000</v>
      </c>
      <c r="J15" s="43">
        <v>8000</v>
      </c>
      <c r="K15" s="43">
        <v>16000</v>
      </c>
    </row>
    <row r="16" spans="1:11" x14ac:dyDescent="0.2">
      <c r="A16" s="43" t="s">
        <v>53</v>
      </c>
      <c r="B16" s="43"/>
      <c r="C16" s="43"/>
      <c r="D16" s="43">
        <v>0</v>
      </c>
      <c r="E16" s="43">
        <v>0</v>
      </c>
      <c r="F16" s="43">
        <v>4000</v>
      </c>
      <c r="G16" s="43">
        <f>ROUND(H4/10,0)*850</f>
        <v>17850</v>
      </c>
      <c r="H16" s="43">
        <v>0</v>
      </c>
      <c r="I16" s="43">
        <v>0</v>
      </c>
      <c r="J16" s="43">
        <v>0</v>
      </c>
      <c r="K16" s="43"/>
    </row>
    <row r="17" spans="1:11" x14ac:dyDescent="0.2">
      <c r="A17" s="43" t="s">
        <v>48</v>
      </c>
      <c r="B17" s="43"/>
      <c r="C17" s="43"/>
      <c r="D17" s="43">
        <v>0</v>
      </c>
      <c r="E17" s="43">
        <v>0</v>
      </c>
      <c r="F17" s="43">
        <v>0</v>
      </c>
      <c r="G17" s="43">
        <v>0</v>
      </c>
      <c r="H17" s="43">
        <v>2000</v>
      </c>
      <c r="I17" s="43">
        <v>0</v>
      </c>
      <c r="J17" s="43">
        <v>0</v>
      </c>
      <c r="K17" s="43"/>
    </row>
    <row r="18" spans="1:11" x14ac:dyDescent="0.2">
      <c r="A18" s="43" t="s">
        <v>50</v>
      </c>
      <c r="B18" s="43"/>
      <c r="C18" s="43"/>
      <c r="D18" s="43">
        <v>4000</v>
      </c>
      <c r="E18" s="43">
        <v>3000</v>
      </c>
      <c r="F18" s="43">
        <v>7000</v>
      </c>
      <c r="G18" s="43">
        <v>7000</v>
      </c>
      <c r="H18" s="43">
        <v>4000</v>
      </c>
      <c r="I18" s="43">
        <v>7000</v>
      </c>
      <c r="J18" s="43">
        <v>0</v>
      </c>
      <c r="K18" s="43"/>
    </row>
    <row r="19" spans="1:11" x14ac:dyDescent="0.2">
      <c r="A19" s="43" t="s">
        <v>46</v>
      </c>
      <c r="B19" s="43"/>
      <c r="C19" s="43"/>
      <c r="D19" s="43">
        <v>500</v>
      </c>
      <c r="E19" s="43">
        <v>500</v>
      </c>
      <c r="F19" s="43">
        <v>500</v>
      </c>
      <c r="G19" s="43">
        <v>500</v>
      </c>
      <c r="H19" s="43">
        <v>500</v>
      </c>
      <c r="I19" s="43">
        <v>500</v>
      </c>
      <c r="J19" s="43">
        <v>500</v>
      </c>
      <c r="K19" s="43"/>
    </row>
    <row r="20" spans="1:11" x14ac:dyDescent="0.2">
      <c r="A20" s="43" t="s">
        <v>78</v>
      </c>
      <c r="B20" s="43"/>
      <c r="C20" s="43"/>
      <c r="D20" s="43">
        <v>3000</v>
      </c>
      <c r="E20" s="43">
        <v>3000</v>
      </c>
      <c r="F20" s="43">
        <v>0</v>
      </c>
      <c r="G20" s="43">
        <v>0</v>
      </c>
      <c r="H20" s="43">
        <v>1000</v>
      </c>
      <c r="I20" s="43">
        <v>1000</v>
      </c>
      <c r="J20" s="43">
        <v>0</v>
      </c>
      <c r="K20" s="43"/>
    </row>
    <row r="21" spans="1:11" x14ac:dyDescent="0.2">
      <c r="A21" s="43" t="s">
        <v>7</v>
      </c>
      <c r="B21" s="43"/>
      <c r="C21" s="43"/>
      <c r="D21" s="43">
        <v>2500</v>
      </c>
      <c r="E21" s="43">
        <v>2500</v>
      </c>
      <c r="F21" s="43">
        <v>3000</v>
      </c>
      <c r="G21" s="43">
        <v>3000</v>
      </c>
      <c r="H21" s="43">
        <v>4000</v>
      </c>
      <c r="I21" s="43">
        <v>4000</v>
      </c>
      <c r="J21" s="43">
        <v>2500</v>
      </c>
      <c r="K21" s="43"/>
    </row>
    <row r="22" spans="1:11" x14ac:dyDescent="0.2">
      <c r="A22" s="43" t="s">
        <v>8</v>
      </c>
      <c r="B22" s="43"/>
      <c r="C22" s="43"/>
      <c r="D22" s="43">
        <v>2000</v>
      </c>
      <c r="E22" s="43">
        <v>1000</v>
      </c>
      <c r="F22" s="43">
        <v>2000</v>
      </c>
      <c r="G22" s="43">
        <v>3000</v>
      </c>
      <c r="H22" s="43">
        <v>2000</v>
      </c>
      <c r="I22" s="43">
        <v>2000</v>
      </c>
      <c r="J22" s="43">
        <v>1000</v>
      </c>
      <c r="K22" s="43"/>
    </row>
    <row r="23" spans="1:11" ht="6.6" customHeight="1" x14ac:dyDescent="0.2">
      <c r="A23" s="43"/>
      <c r="B23" s="43"/>
      <c r="C23" s="43"/>
      <c r="D23" s="43"/>
      <c r="E23" s="43"/>
      <c r="F23" s="43"/>
      <c r="G23" s="43"/>
      <c r="H23" s="43"/>
      <c r="I23" s="51"/>
      <c r="J23" s="44"/>
      <c r="K23" s="43"/>
    </row>
    <row r="24" spans="1:11" x14ac:dyDescent="0.2">
      <c r="A24" s="43" t="s">
        <v>13</v>
      </c>
      <c r="B24" s="43"/>
      <c r="C24" s="43"/>
      <c r="D24" s="43">
        <f t="shared" ref="D24:K24" si="0">SUM(D13:D22)</f>
        <v>22500</v>
      </c>
      <c r="E24" s="43">
        <f t="shared" si="0"/>
        <v>22500</v>
      </c>
      <c r="F24" s="43">
        <f>SUM(F13:F22)</f>
        <v>32000</v>
      </c>
      <c r="G24" s="43">
        <f t="shared" si="0"/>
        <v>47850</v>
      </c>
      <c r="H24" s="43">
        <f t="shared" si="0"/>
        <v>36000</v>
      </c>
      <c r="I24" s="43">
        <f t="shared" si="0"/>
        <v>32000</v>
      </c>
      <c r="J24" s="43">
        <f t="shared" si="0"/>
        <v>22500</v>
      </c>
      <c r="K24" s="43">
        <f t="shared" si="0"/>
        <v>16000</v>
      </c>
    </row>
    <row r="25" spans="1:11" x14ac:dyDescent="0.2">
      <c r="A25" s="43" t="s">
        <v>58</v>
      </c>
      <c r="B25" s="43"/>
      <c r="C25" s="43"/>
      <c r="D25" s="43">
        <v>0</v>
      </c>
      <c r="E25" s="43">
        <v>0</v>
      </c>
      <c r="F25" s="43">
        <v>3000</v>
      </c>
      <c r="G25" s="43">
        <v>8000</v>
      </c>
      <c r="H25" s="43">
        <v>7000</v>
      </c>
      <c r="I25" s="43">
        <v>7000</v>
      </c>
      <c r="J25" s="43">
        <v>7000</v>
      </c>
      <c r="K25" s="43">
        <v>2800</v>
      </c>
    </row>
    <row r="26" spans="1:11" x14ac:dyDescent="0.2">
      <c r="A26" s="43" t="s">
        <v>68</v>
      </c>
      <c r="B26" s="43"/>
      <c r="C26" s="43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</row>
    <row r="27" spans="1:11" ht="6.75" customHeight="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s="1" customFormat="1" ht="15.75" customHeight="1" x14ac:dyDescent="0.25">
      <c r="A28" s="55" t="s">
        <v>86</v>
      </c>
      <c r="B28" s="55"/>
      <c r="C28" s="55"/>
      <c r="D28" s="55">
        <f t="shared" ref="D28:I28" si="1">D24-D25-D26</f>
        <v>22500</v>
      </c>
      <c r="E28" s="55">
        <f t="shared" si="1"/>
        <v>22500</v>
      </c>
      <c r="F28" s="55">
        <f t="shared" si="1"/>
        <v>29000</v>
      </c>
      <c r="G28" s="55">
        <f t="shared" si="1"/>
        <v>39850</v>
      </c>
      <c r="H28" s="55">
        <f t="shared" si="1"/>
        <v>29000</v>
      </c>
      <c r="I28" s="55">
        <f t="shared" si="1"/>
        <v>25000</v>
      </c>
      <c r="J28" s="55">
        <f t="shared" ref="J28" si="2">J24-J25-J26</f>
        <v>15500</v>
      </c>
      <c r="K28" s="55">
        <f>K24-K25-K26</f>
        <v>13200</v>
      </c>
    </row>
    <row r="29" spans="1:11" s="1" customFormat="1" ht="15.75" customHeight="1" x14ac:dyDescent="0.2">
      <c r="A29" s="3" t="s">
        <v>87</v>
      </c>
      <c r="B29" s="8"/>
      <c r="C29" s="8"/>
      <c r="D29" s="8"/>
      <c r="E29" s="8"/>
      <c r="F29" s="8"/>
      <c r="G29" s="8"/>
      <c r="H29" s="8"/>
      <c r="I29" s="8"/>
      <c r="J29" s="13"/>
      <c r="K29" s="8"/>
    </row>
    <row r="30" spans="1:11" s="1" customFormat="1" ht="14.25" customHeight="1" x14ac:dyDescent="0.2">
      <c r="A30" s="3"/>
      <c r="B30" s="8"/>
      <c r="C30" s="8"/>
      <c r="D30" s="8"/>
      <c r="E30" s="8"/>
      <c r="F30" s="8"/>
      <c r="G30" s="8"/>
      <c r="H30" s="8"/>
      <c r="I30" s="8"/>
      <c r="J30" s="13"/>
      <c r="K30" s="8"/>
    </row>
    <row r="31" spans="1:11" s="1" customFormat="1" ht="15.75" customHeight="1" x14ac:dyDescent="0.25">
      <c r="A31" s="110" t="s">
        <v>95</v>
      </c>
      <c r="B31" s="111"/>
      <c r="C31" s="112"/>
      <c r="D31" s="83"/>
      <c r="E31" s="83"/>
      <c r="F31" s="83"/>
      <c r="G31" s="83"/>
      <c r="H31" s="83"/>
      <c r="I31" s="83"/>
      <c r="J31" s="83"/>
      <c r="K31" s="83"/>
    </row>
    <row r="32" spans="1:11" s="1" customFormat="1" ht="14.25" customHeight="1" x14ac:dyDescent="0.2">
      <c r="A32" s="83" t="s">
        <v>96</v>
      </c>
      <c r="B32" s="84"/>
      <c r="C32" s="84"/>
      <c r="D32" s="83">
        <f t="shared" ref="D32:K32" si="3">D28*0.16</f>
        <v>3600</v>
      </c>
      <c r="E32" s="83">
        <f>E28*0.16</f>
        <v>3600</v>
      </c>
      <c r="F32" s="83">
        <f t="shared" si="3"/>
        <v>4640</v>
      </c>
      <c r="G32" s="83">
        <f t="shared" si="3"/>
        <v>6376</v>
      </c>
      <c r="H32" s="83">
        <f t="shared" si="3"/>
        <v>4640</v>
      </c>
      <c r="I32" s="83">
        <f t="shared" si="3"/>
        <v>4000</v>
      </c>
      <c r="J32" s="83">
        <f t="shared" si="3"/>
        <v>2480</v>
      </c>
      <c r="K32" s="83">
        <f t="shared" si="3"/>
        <v>2112</v>
      </c>
    </row>
    <row r="33" spans="1:11" x14ac:dyDescent="0.2">
      <c r="A33" s="8"/>
      <c r="B33" s="8"/>
      <c r="C33" s="8"/>
      <c r="D33" s="8"/>
      <c r="E33" s="8"/>
      <c r="F33" s="8"/>
      <c r="G33" s="8"/>
      <c r="H33" s="8"/>
      <c r="I33" s="8"/>
      <c r="J33" s="13"/>
      <c r="K33" s="8"/>
    </row>
    <row r="34" spans="1:11" ht="33.75" x14ac:dyDescent="0.2">
      <c r="A34" s="89" t="s">
        <v>9</v>
      </c>
      <c r="B34" s="90"/>
      <c r="C34" s="91"/>
      <c r="D34" s="48" t="s">
        <v>6</v>
      </c>
      <c r="E34" s="48" t="s">
        <v>25</v>
      </c>
      <c r="F34" s="48" t="s">
        <v>32</v>
      </c>
      <c r="G34" s="48" t="s">
        <v>31</v>
      </c>
      <c r="H34" s="48" t="s">
        <v>5</v>
      </c>
      <c r="I34" s="48" t="s">
        <v>38</v>
      </c>
      <c r="J34" s="48" t="s">
        <v>34</v>
      </c>
      <c r="K34" s="48" t="s">
        <v>37</v>
      </c>
    </row>
    <row r="35" spans="1:11" x14ac:dyDescent="0.2">
      <c r="A35" s="47" t="s">
        <v>10</v>
      </c>
      <c r="B35" s="47"/>
      <c r="C35" s="47"/>
      <c r="D35" s="47">
        <v>150</v>
      </c>
      <c r="E35" s="47">
        <v>100</v>
      </c>
      <c r="F35" s="47">
        <v>0</v>
      </c>
      <c r="G35" s="47">
        <v>0</v>
      </c>
      <c r="H35" s="47">
        <v>150</v>
      </c>
      <c r="I35" s="47">
        <v>150</v>
      </c>
      <c r="J35" s="49">
        <v>0</v>
      </c>
      <c r="K35" s="47">
        <v>0</v>
      </c>
    </row>
    <row r="36" spans="1:11" x14ac:dyDescent="0.2">
      <c r="A36" s="47" t="s">
        <v>71</v>
      </c>
      <c r="B36" s="47"/>
      <c r="C36" s="47"/>
      <c r="D36" s="47">
        <v>100</v>
      </c>
      <c r="E36" s="47">
        <v>250</v>
      </c>
      <c r="F36" s="47">
        <v>0</v>
      </c>
      <c r="G36" s="47">
        <v>0</v>
      </c>
      <c r="H36" s="47">
        <v>0</v>
      </c>
      <c r="I36" s="47">
        <v>0</v>
      </c>
      <c r="J36" s="49">
        <v>0</v>
      </c>
      <c r="K36" s="47">
        <v>0</v>
      </c>
    </row>
    <row r="37" spans="1:11" x14ac:dyDescent="0.2">
      <c r="A37" s="47" t="s">
        <v>11</v>
      </c>
      <c r="B37" s="47"/>
      <c r="C37" s="47"/>
      <c r="D37" s="47">
        <v>30</v>
      </c>
      <c r="E37" s="47">
        <v>30</v>
      </c>
      <c r="F37" s="47">
        <v>0</v>
      </c>
      <c r="G37" s="47">
        <v>0</v>
      </c>
      <c r="H37" s="47">
        <v>30</v>
      </c>
      <c r="I37" s="47">
        <v>30</v>
      </c>
      <c r="J37" s="49">
        <v>0</v>
      </c>
      <c r="K37" s="47">
        <v>0</v>
      </c>
    </row>
    <row r="38" spans="1:11" x14ac:dyDescent="0.2">
      <c r="A38" s="47" t="s">
        <v>72</v>
      </c>
      <c r="B38" s="47"/>
      <c r="C38" s="47"/>
      <c r="D38" s="47">
        <v>350</v>
      </c>
      <c r="E38" s="47">
        <v>150</v>
      </c>
      <c r="F38" s="47">
        <v>150</v>
      </c>
      <c r="G38" s="47">
        <v>100</v>
      </c>
      <c r="H38" s="47">
        <v>350</v>
      </c>
      <c r="I38" s="47">
        <v>250</v>
      </c>
      <c r="J38" s="47">
        <v>50</v>
      </c>
      <c r="K38" s="47">
        <v>20</v>
      </c>
    </row>
    <row r="39" spans="1:11" ht="8.25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9"/>
      <c r="K39" s="47"/>
    </row>
    <row r="40" spans="1:11" s="1" customFormat="1" ht="15" x14ac:dyDescent="0.25">
      <c r="A40" s="56" t="s">
        <v>12</v>
      </c>
      <c r="B40" s="56"/>
      <c r="C40" s="56"/>
      <c r="D40" s="56">
        <f>SUM(D35:D38)</f>
        <v>630</v>
      </c>
      <c r="E40" s="56">
        <f t="shared" ref="E40:J40" si="4">SUM(E35:E38)</f>
        <v>530</v>
      </c>
      <c r="F40" s="56">
        <f>SUM(F35:F38)</f>
        <v>150</v>
      </c>
      <c r="G40" s="56">
        <f>SUM(G35:G38)</f>
        <v>100</v>
      </c>
      <c r="H40" s="56">
        <f>SUM(H35:H38)</f>
        <v>530</v>
      </c>
      <c r="I40" s="56">
        <f>SUM(I35:I38)</f>
        <v>430</v>
      </c>
      <c r="J40" s="56">
        <f t="shared" si="4"/>
        <v>50</v>
      </c>
      <c r="K40" s="56">
        <f>SUM(K35:K38)</f>
        <v>20</v>
      </c>
    </row>
    <row r="41" spans="1:11" x14ac:dyDescent="0.2">
      <c r="A41" s="8"/>
      <c r="B41" s="8"/>
      <c r="C41" s="8"/>
      <c r="D41" s="8"/>
      <c r="E41" s="8"/>
      <c r="F41" s="8"/>
      <c r="G41" s="8"/>
      <c r="H41" s="8"/>
      <c r="I41" s="8"/>
      <c r="J41" s="13"/>
      <c r="K41" s="8"/>
    </row>
    <row r="42" spans="1:11" ht="9.75" customHeight="1" x14ac:dyDescent="0.2">
      <c r="A42" s="3"/>
      <c r="B42" s="3"/>
      <c r="C42" s="3"/>
      <c r="D42" s="3"/>
      <c r="E42" s="3"/>
      <c r="F42" s="3"/>
      <c r="G42" s="3"/>
      <c r="H42" s="3"/>
      <c r="I42"/>
      <c r="K42" s="3"/>
    </row>
    <row r="43" spans="1:11" ht="33.75" x14ac:dyDescent="0.2">
      <c r="A43" s="104" t="s">
        <v>20</v>
      </c>
      <c r="B43" s="105"/>
      <c r="C43" s="106"/>
      <c r="D43" s="46" t="s">
        <v>6</v>
      </c>
      <c r="E43" s="46" t="s">
        <v>25</v>
      </c>
      <c r="F43" s="46" t="s">
        <v>32</v>
      </c>
      <c r="G43" s="46" t="s">
        <v>31</v>
      </c>
      <c r="H43" s="46" t="s">
        <v>5</v>
      </c>
      <c r="I43" s="46" t="s">
        <v>38</v>
      </c>
      <c r="J43" s="46" t="s">
        <v>34</v>
      </c>
      <c r="K43" s="46" t="s">
        <v>37</v>
      </c>
    </row>
    <row r="44" spans="1:11" x14ac:dyDescent="0.2">
      <c r="A44" s="24" t="s">
        <v>28</v>
      </c>
      <c r="B44" s="64">
        <v>17</v>
      </c>
      <c r="C44" s="24" t="s">
        <v>24</v>
      </c>
      <c r="D44" s="24"/>
      <c r="E44" s="24"/>
      <c r="F44" s="24"/>
      <c r="G44" s="25">
        <f>B3/3.6*B44/100</f>
        <v>944.44444444444457</v>
      </c>
      <c r="H44" s="24"/>
      <c r="I44" s="26"/>
      <c r="J44" s="27"/>
      <c r="K44" s="24"/>
    </row>
    <row r="45" spans="1:11" x14ac:dyDescent="0.2">
      <c r="A45" s="24" t="s">
        <v>25</v>
      </c>
      <c r="B45" s="64">
        <v>8.8000000000000007</v>
      </c>
      <c r="C45" s="24" t="s">
        <v>24</v>
      </c>
      <c r="D45" s="24"/>
      <c r="E45" s="25">
        <f>B5*B45/100+200</f>
        <v>1960</v>
      </c>
      <c r="F45" s="24"/>
      <c r="G45" s="24"/>
      <c r="H45" s="24"/>
      <c r="I45" s="26"/>
      <c r="J45" s="27"/>
      <c r="K45" s="24"/>
    </row>
    <row r="46" spans="1:11" x14ac:dyDescent="0.2">
      <c r="A46" s="24" t="s">
        <v>5</v>
      </c>
      <c r="B46" s="64">
        <v>370</v>
      </c>
      <c r="C46" s="24" t="s">
        <v>16</v>
      </c>
      <c r="D46" s="24"/>
      <c r="E46" s="24"/>
      <c r="F46" s="24"/>
      <c r="G46" s="24"/>
      <c r="H46" s="24">
        <f>B6*B46</f>
        <v>1480</v>
      </c>
      <c r="I46" s="26"/>
      <c r="J46" s="27"/>
      <c r="K46" s="24"/>
    </row>
    <row r="47" spans="1:11" x14ac:dyDescent="0.2">
      <c r="A47" s="24" t="s">
        <v>27</v>
      </c>
      <c r="B47" s="64">
        <v>17</v>
      </c>
      <c r="C47" s="24" t="s">
        <v>24</v>
      </c>
      <c r="D47" s="24"/>
      <c r="E47" s="24"/>
      <c r="F47" s="25">
        <f>B3/2.6*B47/100</f>
        <v>1307.6923076923076</v>
      </c>
      <c r="G47" s="24"/>
      <c r="H47" s="24"/>
      <c r="I47" s="26"/>
      <c r="J47" s="27"/>
      <c r="K47" s="24"/>
    </row>
    <row r="48" spans="1:11" x14ac:dyDescent="0.2">
      <c r="A48" s="24" t="s">
        <v>14</v>
      </c>
      <c r="B48" s="64">
        <v>95</v>
      </c>
      <c r="C48" s="24" t="s">
        <v>17</v>
      </c>
      <c r="D48" s="25">
        <f>B8*B48/100</f>
        <v>1900</v>
      </c>
      <c r="E48" s="24"/>
      <c r="F48" s="24"/>
      <c r="G48" s="24"/>
      <c r="H48" s="24"/>
      <c r="I48" s="26"/>
      <c r="J48" s="27"/>
      <c r="K48" s="24"/>
    </row>
    <row r="49" spans="1:18" x14ac:dyDescent="0.2">
      <c r="A49" s="24" t="s">
        <v>34</v>
      </c>
      <c r="B49" s="64">
        <v>13</v>
      </c>
      <c r="C49" s="24" t="s">
        <v>24</v>
      </c>
      <c r="D49" s="25"/>
      <c r="E49" s="24"/>
      <c r="F49" s="24"/>
      <c r="G49" s="24"/>
      <c r="H49" s="24"/>
      <c r="I49" s="26"/>
      <c r="J49" s="27">
        <f>B9*B49/100</f>
        <v>2340</v>
      </c>
      <c r="K49" s="24"/>
    </row>
    <row r="50" spans="1:18" x14ac:dyDescent="0.2">
      <c r="A50" s="24" t="s">
        <v>38</v>
      </c>
      <c r="B50" s="64">
        <v>150</v>
      </c>
      <c r="C50" s="24" t="s">
        <v>43</v>
      </c>
      <c r="D50" s="25"/>
      <c r="E50" s="24"/>
      <c r="F50" s="24"/>
      <c r="G50" s="24"/>
      <c r="H50" s="24"/>
      <c r="I50" s="25">
        <f>B50*B10</f>
        <v>1675.977653631285</v>
      </c>
      <c r="J50" s="27"/>
      <c r="K50" s="24"/>
    </row>
    <row r="51" spans="1:18" x14ac:dyDescent="0.2">
      <c r="A51" s="101" t="s">
        <v>15</v>
      </c>
      <c r="B51" s="102"/>
      <c r="C51" s="103"/>
      <c r="D51" s="24">
        <v>30</v>
      </c>
      <c r="E51" s="24">
        <v>30</v>
      </c>
      <c r="F51" s="24">
        <v>20</v>
      </c>
      <c r="G51" s="24">
        <v>20</v>
      </c>
      <c r="H51" s="24">
        <v>30</v>
      </c>
      <c r="I51" s="24">
        <v>30</v>
      </c>
      <c r="J51" s="24">
        <v>30</v>
      </c>
      <c r="K51" s="24">
        <v>20</v>
      </c>
    </row>
    <row r="52" spans="1:18" s="23" customFormat="1" ht="15" x14ac:dyDescent="0.25">
      <c r="A52" s="98" t="s">
        <v>66</v>
      </c>
      <c r="B52" s="99"/>
      <c r="C52" s="100"/>
      <c r="D52" s="53">
        <f>SUM(D44:D51)</f>
        <v>1930</v>
      </c>
      <c r="E52" s="53">
        <f t="shared" ref="E52:J52" si="5">SUM(E44:E51)</f>
        <v>1990</v>
      </c>
      <c r="F52" s="53">
        <f>SUM(F44:F51)</f>
        <v>1327.6923076923076</v>
      </c>
      <c r="G52" s="53">
        <f>SUM(G44:G51)</f>
        <v>964.44444444444457</v>
      </c>
      <c r="H52" s="53">
        <f>SUM(H44:H51)</f>
        <v>1510</v>
      </c>
      <c r="I52" s="53">
        <f>SUM(I44:I51)</f>
        <v>1705.977653631285</v>
      </c>
      <c r="J52" s="53">
        <f t="shared" si="5"/>
        <v>2370</v>
      </c>
      <c r="K52" s="29">
        <v>20</v>
      </c>
      <c r="R52" s="54"/>
    </row>
    <row r="53" spans="1:18" s="41" customFormat="1" ht="15" x14ac:dyDescent="0.25">
      <c r="A53" s="38"/>
      <c r="B53" s="38"/>
      <c r="C53" s="38"/>
      <c r="D53" s="39"/>
      <c r="E53" s="39"/>
      <c r="F53" s="39"/>
      <c r="G53" s="39"/>
      <c r="H53" s="39"/>
      <c r="I53" s="39"/>
      <c r="J53" s="39"/>
      <c r="K53" s="40"/>
      <c r="R53" s="42"/>
    </row>
    <row r="54" spans="1:18" s="41" customFormat="1" ht="15" x14ac:dyDescent="0.25">
      <c r="A54" s="38"/>
      <c r="B54" s="38"/>
      <c r="C54" s="38"/>
      <c r="D54" s="39"/>
      <c r="E54" s="39"/>
      <c r="F54" s="39"/>
      <c r="G54" s="39"/>
      <c r="H54" s="39"/>
      <c r="I54" s="39"/>
      <c r="J54" s="39"/>
      <c r="K54" s="40"/>
      <c r="R54" s="42"/>
    </row>
    <row r="55" spans="1:18" ht="33.75" x14ac:dyDescent="0.2">
      <c r="A55" s="107" t="s">
        <v>85</v>
      </c>
      <c r="B55" s="108"/>
      <c r="C55" s="109"/>
      <c r="D55" s="45" t="s">
        <v>6</v>
      </c>
      <c r="E55" s="45" t="s">
        <v>25</v>
      </c>
      <c r="F55" s="45" t="s">
        <v>32</v>
      </c>
      <c r="G55" s="45" t="s">
        <v>31</v>
      </c>
      <c r="H55" s="45" t="s">
        <v>5</v>
      </c>
      <c r="I55" s="45" t="s">
        <v>38</v>
      </c>
      <c r="J55" s="45" t="s">
        <v>34</v>
      </c>
      <c r="K55" s="45" t="s">
        <v>37</v>
      </c>
    </row>
    <row r="56" spans="1:18" x14ac:dyDescent="0.2">
      <c r="A56" s="95" t="s">
        <v>77</v>
      </c>
      <c r="B56" s="30" t="s">
        <v>65</v>
      </c>
      <c r="C56" s="30"/>
      <c r="D56" s="30">
        <v>20</v>
      </c>
      <c r="E56" s="30">
        <v>20</v>
      </c>
      <c r="F56" s="30">
        <v>20</v>
      </c>
      <c r="G56" s="30">
        <v>25</v>
      </c>
      <c r="H56" s="30">
        <v>20</v>
      </c>
      <c r="I56" s="30">
        <v>20</v>
      </c>
      <c r="J56" s="31">
        <v>30</v>
      </c>
      <c r="K56" s="30">
        <v>25</v>
      </c>
      <c r="R56" s="19"/>
    </row>
    <row r="57" spans="1:18" x14ac:dyDescent="0.2">
      <c r="A57" s="95"/>
      <c r="B57" s="96" t="s">
        <v>63</v>
      </c>
      <c r="C57" s="97"/>
      <c r="D57" s="32">
        <v>6.7000000000000004E-2</v>
      </c>
      <c r="E57" s="32">
        <v>6.7000000000000004E-2</v>
      </c>
      <c r="F57" s="32">
        <v>6.7000000000000004E-2</v>
      </c>
      <c r="G57" s="32">
        <v>5.7500000000000002E-2</v>
      </c>
      <c r="H57" s="32">
        <v>6.7000000000000004E-2</v>
      </c>
      <c r="I57" s="32">
        <v>6.7000000000000004E-2</v>
      </c>
      <c r="J57" s="33">
        <v>5.0999999999999997E-2</v>
      </c>
      <c r="K57" s="32">
        <v>5.7500000000000002E-2</v>
      </c>
    </row>
    <row r="58" spans="1:18" x14ac:dyDescent="0.2">
      <c r="A58" s="95"/>
      <c r="B58" s="96" t="s">
        <v>64</v>
      </c>
      <c r="C58" s="97"/>
      <c r="D58" s="34">
        <f t="shared" ref="D58:K58" si="6">0.067*(D28-D32)</f>
        <v>1266.3000000000002</v>
      </c>
      <c r="E58" s="34">
        <f t="shared" si="6"/>
        <v>1266.3000000000002</v>
      </c>
      <c r="F58" s="34">
        <f t="shared" si="6"/>
        <v>1632.1200000000001</v>
      </c>
      <c r="G58" s="34">
        <f>0.067*(G28-G32)</f>
        <v>2242.7580000000003</v>
      </c>
      <c r="H58" s="34">
        <f t="shared" si="6"/>
        <v>1632.1200000000001</v>
      </c>
      <c r="I58" s="34">
        <f t="shared" si="6"/>
        <v>1407</v>
      </c>
      <c r="J58" s="34">
        <f t="shared" si="6"/>
        <v>872.34</v>
      </c>
      <c r="K58" s="34">
        <f t="shared" si="6"/>
        <v>742.89600000000007</v>
      </c>
    </row>
    <row r="59" spans="1:18" ht="17.25" customHeight="1" x14ac:dyDescent="0.2">
      <c r="A59" s="30" t="s">
        <v>19</v>
      </c>
      <c r="B59" s="30"/>
      <c r="C59" s="30"/>
      <c r="D59" s="30">
        <f>D40</f>
        <v>630</v>
      </c>
      <c r="E59" s="30">
        <f t="shared" ref="E59:J59" si="7">E40</f>
        <v>530</v>
      </c>
      <c r="F59" s="30">
        <f>F40</f>
        <v>150</v>
      </c>
      <c r="G59" s="30">
        <f>G40</f>
        <v>100</v>
      </c>
      <c r="H59" s="30">
        <f>H40</f>
        <v>530</v>
      </c>
      <c r="I59" s="30">
        <f>I40</f>
        <v>430</v>
      </c>
      <c r="J59" s="31">
        <f t="shared" si="7"/>
        <v>50</v>
      </c>
      <c r="K59" s="34">
        <f>K40</f>
        <v>20</v>
      </c>
    </row>
    <row r="60" spans="1:18" x14ac:dyDescent="0.2">
      <c r="A60" s="30" t="s">
        <v>70</v>
      </c>
      <c r="B60" s="30"/>
      <c r="C60" s="30"/>
      <c r="D60" s="34">
        <f>D52</f>
        <v>1930</v>
      </c>
      <c r="E60" s="34">
        <f t="shared" ref="E60" si="8">E52</f>
        <v>1990</v>
      </c>
      <c r="F60" s="34">
        <f t="shared" ref="F60:K60" si="9">F52</f>
        <v>1327.6923076923076</v>
      </c>
      <c r="G60" s="34">
        <f t="shared" si="9"/>
        <v>964.44444444444457</v>
      </c>
      <c r="H60" s="34">
        <f t="shared" si="9"/>
        <v>1510</v>
      </c>
      <c r="I60" s="34">
        <f t="shared" si="9"/>
        <v>1705.977653631285</v>
      </c>
      <c r="J60" s="34">
        <f t="shared" si="9"/>
        <v>2370</v>
      </c>
      <c r="K60" s="30">
        <f t="shared" si="9"/>
        <v>20</v>
      </c>
    </row>
    <row r="61" spans="1:18" s="23" customFormat="1" x14ac:dyDescent="0.2">
      <c r="A61" s="30" t="s">
        <v>90</v>
      </c>
      <c r="B61" s="64">
        <v>24</v>
      </c>
      <c r="C61" s="30" t="s">
        <v>93</v>
      </c>
      <c r="D61" s="34">
        <f>B3/10*2.6/1000*B61</f>
        <v>124.80000000000001</v>
      </c>
      <c r="E61" s="34">
        <f>B3*0.2/1000*B61</f>
        <v>96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0">
        <v>0</v>
      </c>
    </row>
    <row r="62" spans="1:18" ht="7.15" customHeight="1" x14ac:dyDescent="0.2">
      <c r="A62" s="30"/>
      <c r="B62" s="30"/>
      <c r="C62" s="30"/>
      <c r="D62" s="30"/>
      <c r="E62" s="30"/>
      <c r="F62" s="30"/>
      <c r="G62" s="30"/>
      <c r="H62" s="30"/>
      <c r="I62" s="35"/>
      <c r="J62" s="31"/>
      <c r="K62" s="34"/>
    </row>
    <row r="63" spans="1:18" s="1" customFormat="1" ht="15" x14ac:dyDescent="0.25">
      <c r="A63" s="36" t="s">
        <v>67</v>
      </c>
      <c r="B63" s="36"/>
      <c r="C63" s="36"/>
      <c r="D63" s="37">
        <f t="shared" ref="D63:I63" si="10">SUM(D58:D60)</f>
        <v>3826.3</v>
      </c>
      <c r="E63" s="37">
        <f t="shared" si="10"/>
        <v>3786.3</v>
      </c>
      <c r="F63" s="37">
        <f t="shared" si="10"/>
        <v>3109.8123076923075</v>
      </c>
      <c r="G63" s="37">
        <f>SUM(G58:G60)</f>
        <v>3307.2024444444451</v>
      </c>
      <c r="H63" s="37">
        <f t="shared" si="10"/>
        <v>3672.12</v>
      </c>
      <c r="I63" s="37">
        <f t="shared" si="10"/>
        <v>3542.9776536312847</v>
      </c>
      <c r="J63" s="37">
        <f t="shared" ref="J63" si="11">SUM(J58:J60)</f>
        <v>3292.34</v>
      </c>
      <c r="K63" s="37">
        <f>SUM(K58:K60)</f>
        <v>782.89600000000007</v>
      </c>
    </row>
    <row r="64" spans="1:18" ht="7.5" customHeight="1" x14ac:dyDescent="0.2">
      <c r="A64" s="30"/>
      <c r="B64" s="30"/>
      <c r="C64" s="30"/>
      <c r="D64" s="30"/>
      <c r="E64" s="30"/>
      <c r="F64" s="30"/>
      <c r="G64" s="30"/>
      <c r="H64" s="30"/>
      <c r="I64" s="35"/>
      <c r="J64" s="31"/>
      <c r="K64" s="30"/>
    </row>
    <row r="65" spans="1:11" ht="15" x14ac:dyDescent="0.25">
      <c r="A65" s="36" t="s">
        <v>22</v>
      </c>
      <c r="B65" s="36"/>
      <c r="C65" s="36"/>
      <c r="D65" s="36">
        <f t="shared" ref="D65:I65" si="12">ROUND(D63/$B$3*100,1)</f>
        <v>19.100000000000001</v>
      </c>
      <c r="E65" s="36">
        <f t="shared" si="12"/>
        <v>18.899999999999999</v>
      </c>
      <c r="F65" s="36">
        <f t="shared" si="12"/>
        <v>15.5</v>
      </c>
      <c r="G65" s="36">
        <f t="shared" si="12"/>
        <v>16.5</v>
      </c>
      <c r="H65" s="36">
        <f t="shared" si="12"/>
        <v>18.399999999999999</v>
      </c>
      <c r="I65" s="36">
        <f t="shared" si="12"/>
        <v>17.7</v>
      </c>
      <c r="J65" s="36">
        <f t="shared" ref="J65" si="13">ROUND(J63/$B$3*100,1)</f>
        <v>16.5</v>
      </c>
      <c r="K65" s="36">
        <f>ROUND(K63/2500*100,1)</f>
        <v>31.3</v>
      </c>
    </row>
    <row r="66" spans="1:11" s="74" customFormat="1" ht="15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8" spans="1:11" ht="33.75" x14ac:dyDescent="0.2">
      <c r="A68" s="86" t="s">
        <v>74</v>
      </c>
      <c r="B68" s="87"/>
      <c r="C68" s="88"/>
      <c r="D68" s="72" t="s">
        <v>6</v>
      </c>
      <c r="E68" s="72" t="s">
        <v>25</v>
      </c>
      <c r="F68" s="72" t="s">
        <v>98</v>
      </c>
      <c r="G68" s="72" t="s">
        <v>97</v>
      </c>
      <c r="H68" s="72" t="s">
        <v>5</v>
      </c>
      <c r="I68" s="72" t="s">
        <v>38</v>
      </c>
      <c r="J68" s="72" t="s">
        <v>34</v>
      </c>
      <c r="K68" s="72" t="s">
        <v>37</v>
      </c>
    </row>
    <row r="69" spans="1:11" s="3" customFormat="1" ht="15" x14ac:dyDescent="0.25">
      <c r="A69" s="75" t="s">
        <v>75</v>
      </c>
      <c r="B69" s="75" t="s">
        <v>76</v>
      </c>
      <c r="C69" s="75"/>
      <c r="D69" s="76">
        <f>B8*2.977/1000</f>
        <v>5.9539999999999997</v>
      </c>
      <c r="E69" s="76">
        <f>B5*0.23/1000</f>
        <v>4.5999999999999996</v>
      </c>
      <c r="F69" s="76">
        <f>B7*0.102/1000</f>
        <v>0.78461538461538449</v>
      </c>
      <c r="G69" s="76">
        <f>B4*0.102/1000</f>
        <v>0.56666666666666665</v>
      </c>
      <c r="H69" s="76">
        <f>B6*0.0344</f>
        <v>0.1376</v>
      </c>
      <c r="I69" s="76">
        <f>B3/1790*0.011</f>
        <v>0.12290502793296089</v>
      </c>
      <c r="J69" s="76">
        <f>B3/5000*0.023</f>
        <v>9.1999999999999998E-2</v>
      </c>
      <c r="K69" s="75"/>
    </row>
    <row r="70" spans="1:11" ht="12.75" x14ac:dyDescent="0.2">
      <c r="A70" s="79" t="s">
        <v>81</v>
      </c>
      <c r="B70" s="82" t="s">
        <v>83</v>
      </c>
      <c r="C70" s="79"/>
      <c r="D70" s="79"/>
      <c r="E70" s="80">
        <f>D69-E69</f>
        <v>1.3540000000000001</v>
      </c>
      <c r="F70" s="80">
        <f>D69-F69</f>
        <v>5.1693846153846152</v>
      </c>
      <c r="G70" s="80">
        <f>D69-G69</f>
        <v>5.3873333333333333</v>
      </c>
      <c r="H70" s="80">
        <f>D69-H69</f>
        <v>5.8163999999999998</v>
      </c>
      <c r="I70" s="80">
        <f>D69-I69</f>
        <v>5.8310949720670386</v>
      </c>
      <c r="J70" s="80">
        <f>D69-J69</f>
        <v>5.8620000000000001</v>
      </c>
      <c r="K70" s="79"/>
    </row>
    <row r="71" spans="1:11" ht="12.75" x14ac:dyDescent="0.2">
      <c r="A71" s="79" t="s">
        <v>81</v>
      </c>
      <c r="B71" s="79" t="s">
        <v>82</v>
      </c>
      <c r="C71" s="79"/>
      <c r="D71" s="79"/>
      <c r="E71" s="81">
        <f>E70/D69</f>
        <v>0.22741014444071214</v>
      </c>
      <c r="F71" s="81">
        <f>F70/D69</f>
        <v>0.8682204594196532</v>
      </c>
      <c r="G71" s="81">
        <f>G70/D69</f>
        <v>0.90482588735863845</v>
      </c>
      <c r="H71" s="81">
        <f>H70/D69</f>
        <v>0.97688948605979176</v>
      </c>
      <c r="I71" s="81">
        <f>I70/D69</f>
        <v>0.97935757004820945</v>
      </c>
      <c r="J71" s="81">
        <f>J70/D69</f>
        <v>0.98454820288881428</v>
      </c>
      <c r="K71" s="79"/>
    </row>
    <row r="72" spans="1:11" x14ac:dyDescent="0.2">
      <c r="A72" t="s">
        <v>99</v>
      </c>
    </row>
    <row r="129" ht="15" customHeight="1" x14ac:dyDescent="0.2"/>
  </sheetData>
  <mergeCells count="11">
    <mergeCell ref="A68:C68"/>
    <mergeCell ref="A34:C34"/>
    <mergeCell ref="A12:C12"/>
    <mergeCell ref="A56:A58"/>
    <mergeCell ref="B57:C57"/>
    <mergeCell ref="B58:C58"/>
    <mergeCell ref="A52:C52"/>
    <mergeCell ref="A51:C51"/>
    <mergeCell ref="A43:C43"/>
    <mergeCell ref="A55:C55"/>
    <mergeCell ref="A31:C31"/>
  </mergeCells>
  <phoneticPr fontId="0" type="noConversion"/>
  <pageMargins left="0.2" right="0.11" top="0.59" bottom="0.69" header="0.4921259845" footer="0.4921259845"/>
  <pageSetup paperSize="9" scale="85" orientation="landscape" verticalDpi="300" r:id="rId1"/>
  <headerFooter alignWithMargins="0"/>
  <rowBreaks count="4" manualBreakCount="4">
    <brk id="41" max="11" man="1"/>
    <brk id="72" max="11" man="1"/>
    <brk id="100" max="16383" man="1"/>
    <brk id="13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topLeftCell="A10" zoomScale="90" zoomScaleNormal="90" workbookViewId="0">
      <selection activeCell="F60" sqref="F60"/>
    </sheetView>
  </sheetViews>
  <sheetFormatPr baseColWidth="10" defaultRowHeight="14.25" x14ac:dyDescent="0.2"/>
  <cols>
    <col min="1" max="1" width="26.7109375" customWidth="1"/>
    <col min="2" max="2" width="11.5703125" customWidth="1"/>
    <col min="3" max="3" width="22" customWidth="1"/>
    <col min="4" max="4" width="9.85546875" customWidth="1"/>
    <col min="5" max="5" width="10" customWidth="1"/>
    <col min="6" max="6" width="11.5703125" customWidth="1"/>
    <col min="7" max="7" width="10.140625" customWidth="1"/>
    <col min="8" max="9" width="10" customWidth="1"/>
    <col min="10" max="10" width="11" style="12" customWidth="1"/>
    <col min="11" max="11" width="9.85546875" customWidth="1"/>
    <col min="12" max="12" width="4.140625" customWidth="1"/>
  </cols>
  <sheetData>
    <row r="1" spans="1:11" ht="18" x14ac:dyDescent="0.25">
      <c r="A1" s="2" t="s">
        <v>102</v>
      </c>
      <c r="C1" s="15"/>
      <c r="F1" s="15" t="s">
        <v>51</v>
      </c>
    </row>
    <row r="2" spans="1:11" ht="5.85" customHeight="1" x14ac:dyDescent="0.2"/>
    <row r="3" spans="1:11" x14ac:dyDescent="0.2">
      <c r="A3" s="3" t="s">
        <v>0</v>
      </c>
      <c r="B3" s="17">
        <v>30000</v>
      </c>
      <c r="C3" s="3" t="s">
        <v>1</v>
      </c>
      <c r="D3" s="3"/>
      <c r="E3" s="3"/>
      <c r="F3" s="3"/>
      <c r="G3" s="3"/>
      <c r="H3" s="14" t="s">
        <v>23</v>
      </c>
      <c r="I3" s="18">
        <v>350</v>
      </c>
      <c r="J3" s="3" t="s">
        <v>21</v>
      </c>
    </row>
    <row r="4" spans="1:11" x14ac:dyDescent="0.2">
      <c r="A4" s="3" t="s">
        <v>33</v>
      </c>
      <c r="B4" s="10">
        <f>B3/3.6</f>
        <v>8333.3333333333339</v>
      </c>
      <c r="C4" s="3" t="s">
        <v>29</v>
      </c>
      <c r="D4" s="3"/>
      <c r="E4" s="3"/>
      <c r="F4" s="3"/>
      <c r="G4" s="3"/>
      <c r="H4" s="14" t="s">
        <v>44</v>
      </c>
      <c r="I4" s="5">
        <f>(3/4*B3/70)</f>
        <v>321.42857142857144</v>
      </c>
      <c r="J4" s="3" t="s">
        <v>52</v>
      </c>
      <c r="K4" s="3"/>
    </row>
    <row r="5" spans="1:11" x14ac:dyDescent="0.2">
      <c r="A5" s="3"/>
      <c r="B5" s="5">
        <f>B3/1</f>
        <v>30000</v>
      </c>
      <c r="C5" s="3" t="s">
        <v>94</v>
      </c>
      <c r="D5" s="3"/>
      <c r="E5" s="3"/>
      <c r="F5" s="3"/>
      <c r="G5" s="3"/>
      <c r="H5" s="16" t="s">
        <v>45</v>
      </c>
      <c r="I5" s="7">
        <f>B3/I3</f>
        <v>85.714285714285708</v>
      </c>
      <c r="J5" s="3" t="s">
        <v>26</v>
      </c>
    </row>
    <row r="6" spans="1:11" x14ac:dyDescent="0.2">
      <c r="A6" s="3"/>
      <c r="B6" s="6">
        <f>B3/5000</f>
        <v>6</v>
      </c>
      <c r="C6" s="3" t="s">
        <v>3</v>
      </c>
      <c r="D6" s="3"/>
      <c r="E6" s="3"/>
      <c r="F6" s="3"/>
      <c r="G6" s="3"/>
      <c r="H6" s="3"/>
      <c r="I6" s="3"/>
      <c r="K6" s="3"/>
    </row>
    <row r="7" spans="1:11" x14ac:dyDescent="0.2">
      <c r="A7" s="3"/>
      <c r="B7" s="5">
        <f>B3/2.6</f>
        <v>11538.461538461537</v>
      </c>
      <c r="C7" s="3" t="s">
        <v>30</v>
      </c>
      <c r="D7" s="3"/>
      <c r="E7" s="3"/>
      <c r="F7" s="3"/>
      <c r="G7" s="3"/>
      <c r="H7" s="3"/>
      <c r="I7" s="3"/>
      <c r="K7" s="3"/>
    </row>
    <row r="8" spans="1:11" x14ac:dyDescent="0.2">
      <c r="A8" s="3"/>
      <c r="B8" s="5">
        <f>B3/10</f>
        <v>3000</v>
      </c>
      <c r="C8" s="3" t="s">
        <v>2</v>
      </c>
      <c r="D8" s="3"/>
      <c r="E8" s="3"/>
      <c r="F8" s="3"/>
      <c r="G8" s="3"/>
      <c r="H8" s="3"/>
      <c r="I8" s="3"/>
      <c r="K8" s="3"/>
    </row>
    <row r="9" spans="1:11" x14ac:dyDescent="0.2">
      <c r="A9" s="3"/>
      <c r="B9" s="5">
        <f>B3/2000</f>
        <v>15</v>
      </c>
      <c r="C9" s="3" t="s">
        <v>41</v>
      </c>
      <c r="D9" s="3"/>
      <c r="E9" s="3"/>
      <c r="F9" s="3"/>
      <c r="G9" s="3" t="s">
        <v>79</v>
      </c>
      <c r="I9" s="3"/>
      <c r="K9" s="3"/>
    </row>
    <row r="10" spans="1:11" x14ac:dyDescent="0.2">
      <c r="A10" s="3"/>
      <c r="B10" s="5">
        <f>B3*0.9</f>
        <v>27000</v>
      </c>
      <c r="C10" s="3" t="s">
        <v>35</v>
      </c>
      <c r="D10" s="3"/>
      <c r="E10" s="3"/>
      <c r="F10" s="3"/>
      <c r="G10" s="3"/>
      <c r="H10" s="3"/>
      <c r="I10" s="3"/>
      <c r="K10" s="3"/>
    </row>
    <row r="11" spans="1:11" ht="13.5" customHeight="1" x14ac:dyDescent="0.2">
      <c r="A11" s="3"/>
      <c r="B11" s="5"/>
      <c r="C11" s="3"/>
      <c r="D11" s="3"/>
      <c r="E11" s="3"/>
      <c r="F11" s="3"/>
      <c r="G11" s="3"/>
      <c r="H11" s="3"/>
      <c r="I11" s="3"/>
      <c r="K11" s="3"/>
    </row>
    <row r="12" spans="1:11" ht="33" customHeight="1" x14ac:dyDescent="0.2">
      <c r="A12" s="92" t="s">
        <v>4</v>
      </c>
      <c r="B12" s="93"/>
      <c r="C12" s="94"/>
      <c r="D12" s="50" t="s">
        <v>6</v>
      </c>
      <c r="E12" s="50" t="s">
        <v>25</v>
      </c>
      <c r="F12" s="50" t="s">
        <v>32</v>
      </c>
      <c r="G12" s="50" t="s">
        <v>31</v>
      </c>
      <c r="H12" s="50" t="s">
        <v>55</v>
      </c>
      <c r="I12" s="50" t="s">
        <v>38</v>
      </c>
      <c r="J12" s="50" t="s">
        <v>34</v>
      </c>
      <c r="K12" s="50" t="s">
        <v>69</v>
      </c>
    </row>
    <row r="13" spans="1:11" ht="15" x14ac:dyDescent="0.2">
      <c r="A13" s="43" t="s">
        <v>54</v>
      </c>
      <c r="B13" s="43"/>
      <c r="C13" s="43"/>
      <c r="D13" s="43">
        <v>0</v>
      </c>
      <c r="E13" s="43">
        <v>5000</v>
      </c>
      <c r="F13" s="43">
        <v>0</v>
      </c>
      <c r="G13" s="43">
        <v>0</v>
      </c>
      <c r="H13" s="43">
        <v>5000</v>
      </c>
      <c r="I13" s="43">
        <v>0</v>
      </c>
      <c r="J13" s="43">
        <v>8000</v>
      </c>
      <c r="K13" s="52"/>
    </row>
    <row r="14" spans="1:11" x14ac:dyDescent="0.2">
      <c r="A14" s="43" t="s">
        <v>47</v>
      </c>
      <c r="B14" s="43"/>
      <c r="C14" s="43"/>
      <c r="D14" s="43">
        <v>3000</v>
      </c>
      <c r="E14" s="43">
        <v>3000</v>
      </c>
      <c r="F14" s="43">
        <v>3000</v>
      </c>
      <c r="G14" s="43">
        <v>3000</v>
      </c>
      <c r="H14" s="43">
        <v>3000</v>
      </c>
      <c r="I14" s="43">
        <v>3000</v>
      </c>
      <c r="J14" s="43">
        <v>3000</v>
      </c>
      <c r="K14" s="43"/>
    </row>
    <row r="15" spans="1:11" x14ac:dyDescent="0.2">
      <c r="A15" s="43" t="s">
        <v>56</v>
      </c>
      <c r="B15" s="43"/>
      <c r="C15" s="43"/>
      <c r="D15" s="43">
        <v>9500</v>
      </c>
      <c r="E15" s="43">
        <v>9000</v>
      </c>
      <c r="F15" s="43">
        <v>21000</v>
      </c>
      <c r="G15" s="43">
        <v>18000</v>
      </c>
      <c r="H15" s="43">
        <v>17000</v>
      </c>
      <c r="I15" s="43">
        <v>16000</v>
      </c>
      <c r="J15" s="43">
        <v>8000</v>
      </c>
      <c r="K15" s="43">
        <v>16000</v>
      </c>
    </row>
    <row r="16" spans="1:11" x14ac:dyDescent="0.2">
      <c r="A16" s="43" t="s">
        <v>53</v>
      </c>
      <c r="B16" s="43"/>
      <c r="C16" s="43"/>
      <c r="D16" s="43">
        <v>0</v>
      </c>
      <c r="E16" s="43">
        <v>0</v>
      </c>
      <c r="F16" s="43">
        <v>0</v>
      </c>
      <c r="G16" s="43">
        <f>ROUND(I4/10,0)*850</f>
        <v>27200</v>
      </c>
      <c r="H16" s="43">
        <v>0</v>
      </c>
      <c r="I16" s="43">
        <v>0</v>
      </c>
      <c r="J16" s="43">
        <v>0</v>
      </c>
      <c r="K16" s="43"/>
    </row>
    <row r="17" spans="1:11" x14ac:dyDescent="0.2">
      <c r="A17" s="43" t="s">
        <v>49</v>
      </c>
      <c r="B17" s="43"/>
      <c r="C17" s="43"/>
      <c r="D17" s="43">
        <v>0</v>
      </c>
      <c r="E17" s="43">
        <v>0</v>
      </c>
      <c r="F17" s="43">
        <v>0</v>
      </c>
      <c r="G17" s="43">
        <v>0</v>
      </c>
      <c r="H17" s="43">
        <v>2000</v>
      </c>
      <c r="I17" s="43"/>
      <c r="J17" s="43">
        <v>0</v>
      </c>
      <c r="K17" s="43"/>
    </row>
    <row r="18" spans="1:11" x14ac:dyDescent="0.2">
      <c r="A18" s="43" t="s">
        <v>50</v>
      </c>
      <c r="B18" s="43"/>
      <c r="C18" s="43"/>
      <c r="D18" s="43">
        <v>4000</v>
      </c>
      <c r="E18" s="43">
        <v>3000</v>
      </c>
      <c r="F18" s="43">
        <v>8000</v>
      </c>
      <c r="G18" s="43">
        <v>8000</v>
      </c>
      <c r="H18" s="43">
        <v>5000</v>
      </c>
      <c r="I18" s="43">
        <v>8000</v>
      </c>
      <c r="J18" s="43">
        <v>0</v>
      </c>
      <c r="K18" s="43"/>
    </row>
    <row r="19" spans="1:11" x14ac:dyDescent="0.2">
      <c r="A19" s="43" t="s">
        <v>46</v>
      </c>
      <c r="B19" s="43"/>
      <c r="C19" s="43"/>
      <c r="D19" s="43">
        <v>500</v>
      </c>
      <c r="E19" s="43">
        <v>500</v>
      </c>
      <c r="F19" s="43">
        <v>500</v>
      </c>
      <c r="G19" s="43">
        <v>500</v>
      </c>
      <c r="H19" s="43">
        <v>500</v>
      </c>
      <c r="I19" s="43">
        <v>500</v>
      </c>
      <c r="J19" s="43">
        <v>500</v>
      </c>
      <c r="K19" s="43"/>
    </row>
    <row r="20" spans="1:11" x14ac:dyDescent="0.2">
      <c r="A20" s="43" t="s">
        <v>78</v>
      </c>
      <c r="B20" s="43"/>
      <c r="C20" s="43"/>
      <c r="D20" s="43">
        <v>3000</v>
      </c>
      <c r="E20" s="43">
        <v>3000</v>
      </c>
      <c r="F20" s="43">
        <v>0</v>
      </c>
      <c r="G20" s="43">
        <v>0</v>
      </c>
      <c r="H20" s="43">
        <v>1000</v>
      </c>
      <c r="I20" s="43">
        <v>1000</v>
      </c>
      <c r="J20" s="43">
        <v>0</v>
      </c>
      <c r="K20" s="43"/>
    </row>
    <row r="21" spans="1:11" x14ac:dyDescent="0.2">
      <c r="A21" s="43" t="s">
        <v>7</v>
      </c>
      <c r="B21" s="43"/>
      <c r="C21" s="43"/>
      <c r="D21" s="43">
        <v>3000</v>
      </c>
      <c r="E21" s="43">
        <v>2500</v>
      </c>
      <c r="F21" s="43">
        <v>3000</v>
      </c>
      <c r="G21" s="43">
        <v>3000</v>
      </c>
      <c r="H21" s="43">
        <v>4000</v>
      </c>
      <c r="I21" s="43">
        <v>5000</v>
      </c>
      <c r="J21" s="43">
        <v>2000</v>
      </c>
      <c r="K21" s="43"/>
    </row>
    <row r="22" spans="1:11" x14ac:dyDescent="0.2">
      <c r="A22" s="43" t="s">
        <v>8</v>
      </c>
      <c r="B22" s="43"/>
      <c r="C22" s="43"/>
      <c r="D22" s="43">
        <v>2000</v>
      </c>
      <c r="E22" s="43">
        <v>1500</v>
      </c>
      <c r="F22" s="43">
        <v>2500</v>
      </c>
      <c r="G22" s="43">
        <v>3000</v>
      </c>
      <c r="H22" s="43">
        <v>2000</v>
      </c>
      <c r="I22" s="43">
        <v>2000</v>
      </c>
      <c r="J22" s="44">
        <v>1000</v>
      </c>
      <c r="K22" s="43"/>
    </row>
    <row r="23" spans="1:11" ht="6.75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 t="s">
        <v>13</v>
      </c>
      <c r="B24" s="43"/>
      <c r="C24" s="43"/>
      <c r="D24" s="43">
        <f t="shared" ref="D24:K24" si="0">SUM(D13:D22)</f>
        <v>25000</v>
      </c>
      <c r="E24" s="43">
        <f t="shared" si="0"/>
        <v>27500</v>
      </c>
      <c r="F24" s="43">
        <f t="shared" si="0"/>
        <v>38000</v>
      </c>
      <c r="G24" s="43">
        <f t="shared" si="0"/>
        <v>62700</v>
      </c>
      <c r="H24" s="43">
        <f t="shared" si="0"/>
        <v>39500</v>
      </c>
      <c r="I24" s="43">
        <f t="shared" si="0"/>
        <v>35500</v>
      </c>
      <c r="J24" s="43">
        <f t="shared" si="0"/>
        <v>22500</v>
      </c>
      <c r="K24" s="43">
        <f t="shared" si="0"/>
        <v>16000</v>
      </c>
    </row>
    <row r="25" spans="1:11" x14ac:dyDescent="0.2">
      <c r="A25" s="43" t="s">
        <v>58</v>
      </c>
      <c r="B25" s="43"/>
      <c r="C25" s="43"/>
      <c r="D25" s="43">
        <v>0</v>
      </c>
      <c r="E25" s="43">
        <v>0</v>
      </c>
      <c r="F25" s="43">
        <v>3000</v>
      </c>
      <c r="G25" s="43">
        <v>8000</v>
      </c>
      <c r="H25" s="43">
        <v>7000</v>
      </c>
      <c r="I25" s="43">
        <v>7000</v>
      </c>
      <c r="J25" s="43">
        <v>7000</v>
      </c>
      <c r="K25" s="43">
        <v>2800</v>
      </c>
    </row>
    <row r="26" spans="1:11" s="23" customFormat="1" x14ac:dyDescent="0.2">
      <c r="A26" s="43" t="s">
        <v>57</v>
      </c>
      <c r="B26" s="43"/>
      <c r="C26" s="43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</row>
    <row r="27" spans="1:11" s="23" customFormat="1" ht="6.75" customHeight="1" x14ac:dyDescent="0.2">
      <c r="A27" s="65"/>
      <c r="B27" s="66"/>
      <c r="C27" s="67"/>
      <c r="D27" s="43"/>
      <c r="E27" s="43"/>
      <c r="F27" s="43"/>
      <c r="G27" s="43"/>
      <c r="H27" s="43"/>
      <c r="I27" s="43"/>
      <c r="J27" s="43"/>
      <c r="K27" s="43"/>
    </row>
    <row r="28" spans="1:11" s="57" customFormat="1" ht="15.75" customHeight="1" x14ac:dyDescent="0.25">
      <c r="A28" s="116" t="s">
        <v>89</v>
      </c>
      <c r="B28" s="117"/>
      <c r="C28" s="118"/>
      <c r="D28" s="61">
        <f>D24-D25-D26</f>
        <v>25000</v>
      </c>
      <c r="E28" s="61">
        <f t="shared" ref="E28:K28" si="1">E24-E25-E26</f>
        <v>27500</v>
      </c>
      <c r="F28" s="61">
        <f>F24-F25-F26</f>
        <v>35000</v>
      </c>
      <c r="G28" s="61">
        <f>G24-G25-G26</f>
        <v>54700</v>
      </c>
      <c r="H28" s="61">
        <f>H24-H25-H26</f>
        <v>32500</v>
      </c>
      <c r="I28" s="61">
        <f t="shared" si="1"/>
        <v>28500</v>
      </c>
      <c r="J28" s="61">
        <f t="shared" si="1"/>
        <v>15500</v>
      </c>
      <c r="K28" s="61">
        <f t="shared" si="1"/>
        <v>13200</v>
      </c>
    </row>
    <row r="29" spans="1:11" s="57" customFormat="1" ht="15.75" customHeight="1" x14ac:dyDescent="0.2">
      <c r="A29" s="3" t="s">
        <v>88</v>
      </c>
      <c r="B29" s="3"/>
      <c r="C29" s="3"/>
      <c r="D29" s="3"/>
      <c r="E29" s="3"/>
      <c r="F29" s="3"/>
      <c r="G29" s="3"/>
      <c r="H29" s="3"/>
      <c r="I29" s="3"/>
      <c r="J29" s="12"/>
      <c r="K29" s="3"/>
    </row>
    <row r="30" spans="1:11" s="57" customFormat="1" ht="14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12"/>
      <c r="K30" s="3"/>
    </row>
    <row r="31" spans="1:11" s="57" customFormat="1" ht="15.75" customHeight="1" x14ac:dyDescent="0.25">
      <c r="A31" s="110" t="s">
        <v>95</v>
      </c>
      <c r="B31" s="111"/>
      <c r="C31" s="112"/>
      <c r="D31" s="83"/>
      <c r="E31" s="83"/>
      <c r="F31" s="83"/>
      <c r="G31" s="83"/>
      <c r="H31" s="83"/>
      <c r="I31" s="83"/>
      <c r="J31" s="85"/>
      <c r="K31" s="83"/>
    </row>
    <row r="32" spans="1:11" s="57" customFormat="1" ht="14.25" customHeight="1" x14ac:dyDescent="0.2">
      <c r="A32" s="83" t="s">
        <v>100</v>
      </c>
      <c r="B32" s="83"/>
      <c r="C32" s="83"/>
      <c r="D32" s="83">
        <f t="shared" ref="D32:J32" si="2">D28*0.16</f>
        <v>4000</v>
      </c>
      <c r="E32" s="83">
        <f t="shared" si="2"/>
        <v>4400</v>
      </c>
      <c r="F32" s="83">
        <f t="shared" si="2"/>
        <v>5600</v>
      </c>
      <c r="G32" s="83">
        <f t="shared" si="2"/>
        <v>8752</v>
      </c>
      <c r="H32" s="83">
        <f t="shared" si="2"/>
        <v>5200</v>
      </c>
      <c r="I32" s="83">
        <f t="shared" si="2"/>
        <v>4560</v>
      </c>
      <c r="J32" s="83">
        <f t="shared" si="2"/>
        <v>2480</v>
      </c>
      <c r="K32" s="83">
        <f t="shared" ref="K32" si="3">K28*0.16</f>
        <v>2112</v>
      </c>
    </row>
    <row r="33" spans="1:11" ht="14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33.75" customHeight="1" x14ac:dyDescent="0.2">
      <c r="A34" s="89" t="s">
        <v>9</v>
      </c>
      <c r="B34" s="90"/>
      <c r="C34" s="91"/>
      <c r="D34" s="48" t="s">
        <v>6</v>
      </c>
      <c r="E34" s="48" t="s">
        <v>25</v>
      </c>
      <c r="F34" s="48" t="s">
        <v>32</v>
      </c>
      <c r="G34" s="48" t="s">
        <v>31</v>
      </c>
      <c r="H34" s="48" t="s">
        <v>55</v>
      </c>
      <c r="I34" s="48" t="s">
        <v>38</v>
      </c>
      <c r="J34" s="48" t="s">
        <v>34</v>
      </c>
      <c r="K34" s="48" t="s">
        <v>69</v>
      </c>
    </row>
    <row r="35" spans="1:11" x14ac:dyDescent="0.2">
      <c r="A35" s="47" t="s">
        <v>10</v>
      </c>
      <c r="B35" s="47"/>
      <c r="C35" s="47"/>
      <c r="D35" s="47">
        <v>150</v>
      </c>
      <c r="E35" s="47">
        <v>100</v>
      </c>
      <c r="F35" s="47">
        <v>0</v>
      </c>
      <c r="G35" s="47">
        <v>0</v>
      </c>
      <c r="H35" s="47">
        <v>150</v>
      </c>
      <c r="I35" s="47">
        <v>150</v>
      </c>
      <c r="J35" s="49">
        <v>0</v>
      </c>
      <c r="K35" s="47">
        <v>0</v>
      </c>
    </row>
    <row r="36" spans="1:11" x14ac:dyDescent="0.2">
      <c r="A36" s="47" t="s">
        <v>71</v>
      </c>
      <c r="B36" s="47"/>
      <c r="C36" s="47"/>
      <c r="D36" s="47">
        <v>100</v>
      </c>
      <c r="E36" s="47">
        <v>250</v>
      </c>
      <c r="F36" s="47">
        <v>0</v>
      </c>
      <c r="G36" s="47">
        <v>0</v>
      </c>
      <c r="H36" s="47">
        <v>0</v>
      </c>
      <c r="I36" s="47">
        <v>0</v>
      </c>
      <c r="J36" s="49">
        <v>0</v>
      </c>
      <c r="K36" s="47">
        <v>0</v>
      </c>
    </row>
    <row r="37" spans="1:11" x14ac:dyDescent="0.2">
      <c r="A37" s="47" t="s">
        <v>11</v>
      </c>
      <c r="B37" s="47"/>
      <c r="C37" s="47"/>
      <c r="D37" s="47">
        <v>50</v>
      </c>
      <c r="E37" s="47">
        <v>50</v>
      </c>
      <c r="F37" s="47">
        <v>0</v>
      </c>
      <c r="G37" s="47">
        <v>0</v>
      </c>
      <c r="H37" s="47">
        <v>50</v>
      </c>
      <c r="I37" s="47">
        <v>0</v>
      </c>
      <c r="J37" s="49">
        <v>0</v>
      </c>
      <c r="K37" s="47">
        <v>0</v>
      </c>
    </row>
    <row r="38" spans="1:11" x14ac:dyDescent="0.2">
      <c r="A38" s="47" t="s">
        <v>72</v>
      </c>
      <c r="B38" s="47"/>
      <c r="C38" s="47"/>
      <c r="D38" s="47">
        <v>350</v>
      </c>
      <c r="E38" s="47">
        <v>200</v>
      </c>
      <c r="F38" s="47">
        <v>150</v>
      </c>
      <c r="G38" s="47">
        <v>100</v>
      </c>
      <c r="H38" s="47">
        <v>350</v>
      </c>
      <c r="I38" s="47">
        <v>200</v>
      </c>
      <c r="J38" s="47">
        <v>50</v>
      </c>
      <c r="K38" s="47">
        <v>20</v>
      </c>
    </row>
    <row r="39" spans="1:11" ht="6.75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9"/>
      <c r="K39" s="47"/>
    </row>
    <row r="40" spans="1:11" s="59" customFormat="1" ht="15" x14ac:dyDescent="0.25">
      <c r="A40" s="58" t="s">
        <v>12</v>
      </c>
      <c r="B40" s="58"/>
      <c r="C40" s="58"/>
      <c r="D40" s="58">
        <f>SUM(D35:D38)</f>
        <v>650</v>
      </c>
      <c r="E40" s="58">
        <f t="shared" ref="E40:K40" si="4">SUM(E35:E38)</f>
        <v>600</v>
      </c>
      <c r="F40" s="58">
        <f>SUM(F35:F38)</f>
        <v>150</v>
      </c>
      <c r="G40" s="58">
        <f>SUM(G35:G38)</f>
        <v>100</v>
      </c>
      <c r="H40" s="58">
        <f>SUM(H35:H38)</f>
        <v>550</v>
      </c>
      <c r="I40" s="58">
        <f t="shared" si="4"/>
        <v>350</v>
      </c>
      <c r="J40" s="58">
        <f t="shared" si="4"/>
        <v>50</v>
      </c>
      <c r="K40" s="58">
        <f t="shared" si="4"/>
        <v>20</v>
      </c>
    </row>
    <row r="41" spans="1:11" s="71" customForma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9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K42" s="3"/>
    </row>
    <row r="43" spans="1:11" ht="33.75" customHeight="1" x14ac:dyDescent="0.2">
      <c r="A43" s="104" t="s">
        <v>20</v>
      </c>
      <c r="B43" s="105"/>
      <c r="C43" s="106"/>
      <c r="D43" s="46" t="s">
        <v>6</v>
      </c>
      <c r="E43" s="46" t="s">
        <v>25</v>
      </c>
      <c r="F43" s="46" t="s">
        <v>32</v>
      </c>
      <c r="G43" s="46" t="s">
        <v>31</v>
      </c>
      <c r="H43" s="46" t="s">
        <v>55</v>
      </c>
      <c r="I43" s="46" t="s">
        <v>38</v>
      </c>
      <c r="J43" s="46" t="s">
        <v>34</v>
      </c>
      <c r="K43" s="46" t="s">
        <v>69</v>
      </c>
    </row>
    <row r="44" spans="1:11" x14ac:dyDescent="0.2">
      <c r="A44" s="24" t="s">
        <v>28</v>
      </c>
      <c r="B44" s="64">
        <v>17</v>
      </c>
      <c r="C44" s="24" t="s">
        <v>24</v>
      </c>
      <c r="D44" s="24"/>
      <c r="E44" s="24"/>
      <c r="F44" s="26"/>
      <c r="G44" s="25">
        <f>B3/3.6*B44/100</f>
        <v>1416.666666666667</v>
      </c>
      <c r="H44" s="24"/>
      <c r="I44" s="24"/>
      <c r="J44" s="27"/>
      <c r="K44" s="24"/>
    </row>
    <row r="45" spans="1:11" x14ac:dyDescent="0.2">
      <c r="A45" s="24" t="s">
        <v>25</v>
      </c>
      <c r="B45" s="64">
        <v>8.8000000000000007</v>
      </c>
      <c r="C45" s="24" t="s">
        <v>24</v>
      </c>
      <c r="D45" s="24"/>
      <c r="E45" s="25">
        <f>B5*B45/100+200</f>
        <v>2840</v>
      </c>
      <c r="F45" s="26"/>
      <c r="G45" s="24"/>
      <c r="H45" s="24"/>
      <c r="I45" s="24"/>
      <c r="J45" s="27"/>
      <c r="K45" s="24"/>
    </row>
    <row r="46" spans="1:11" x14ac:dyDescent="0.2">
      <c r="A46" s="24" t="s">
        <v>5</v>
      </c>
      <c r="B46" s="64">
        <v>365</v>
      </c>
      <c r="C46" s="24" t="s">
        <v>16</v>
      </c>
      <c r="D46" s="24"/>
      <c r="E46" s="24"/>
      <c r="F46" s="26"/>
      <c r="G46" s="24"/>
      <c r="H46" s="24">
        <f>B6*B46</f>
        <v>2190</v>
      </c>
      <c r="I46" s="24"/>
      <c r="J46" s="27"/>
      <c r="K46" s="24"/>
    </row>
    <row r="47" spans="1:11" x14ac:dyDescent="0.2">
      <c r="A47" s="24" t="s">
        <v>27</v>
      </c>
      <c r="B47" s="64">
        <v>17</v>
      </c>
      <c r="C47" s="24" t="s">
        <v>24</v>
      </c>
      <c r="D47" s="25"/>
      <c r="E47" s="24"/>
      <c r="F47" s="77">
        <f>B3/2.6*B47/100</f>
        <v>1961.5384615384612</v>
      </c>
      <c r="G47" s="24"/>
      <c r="H47" s="24"/>
      <c r="I47" s="24"/>
      <c r="J47" s="27"/>
      <c r="K47" s="24"/>
    </row>
    <row r="48" spans="1:11" x14ac:dyDescent="0.2">
      <c r="A48" s="24" t="s">
        <v>14</v>
      </c>
      <c r="B48" s="64">
        <v>95</v>
      </c>
      <c r="C48" s="24" t="s">
        <v>40</v>
      </c>
      <c r="D48" s="24">
        <f>B8*B48/100</f>
        <v>2850</v>
      </c>
      <c r="E48" s="24"/>
      <c r="F48" s="26"/>
      <c r="G48" s="24"/>
      <c r="H48" s="24"/>
      <c r="I48" s="25"/>
      <c r="J48" s="27"/>
      <c r="K48" s="24"/>
    </row>
    <row r="49" spans="1:11" x14ac:dyDescent="0.2">
      <c r="A49" s="24" t="s">
        <v>38</v>
      </c>
      <c r="B49" s="64">
        <v>150</v>
      </c>
      <c r="C49" s="24" t="s">
        <v>39</v>
      </c>
      <c r="D49" s="24"/>
      <c r="E49" s="24"/>
      <c r="F49" s="26"/>
      <c r="G49" s="24"/>
      <c r="H49" s="24"/>
      <c r="I49" s="25">
        <f>B49*B9</f>
        <v>2250</v>
      </c>
      <c r="J49" s="27"/>
      <c r="K49" s="24"/>
    </row>
    <row r="50" spans="1:11" x14ac:dyDescent="0.2">
      <c r="A50" s="24" t="s">
        <v>34</v>
      </c>
      <c r="B50" s="64">
        <v>13</v>
      </c>
      <c r="C50" s="24" t="s">
        <v>24</v>
      </c>
      <c r="D50" s="24"/>
      <c r="E50" s="24"/>
      <c r="F50" s="25"/>
      <c r="G50" s="24"/>
      <c r="H50" s="24"/>
      <c r="I50" s="25"/>
      <c r="J50" s="27">
        <f>B10*B50/100</f>
        <v>3510</v>
      </c>
      <c r="K50" s="24"/>
    </row>
    <row r="51" spans="1:11" x14ac:dyDescent="0.2">
      <c r="A51" s="101" t="s">
        <v>15</v>
      </c>
      <c r="B51" s="102"/>
      <c r="C51" s="103"/>
      <c r="D51" s="24">
        <v>40</v>
      </c>
      <c r="E51" s="24">
        <v>40</v>
      </c>
      <c r="F51" s="24">
        <v>30</v>
      </c>
      <c r="G51" s="24">
        <v>30</v>
      </c>
      <c r="H51" s="24">
        <v>40</v>
      </c>
      <c r="I51" s="24">
        <v>40</v>
      </c>
      <c r="J51" s="24">
        <v>30</v>
      </c>
      <c r="K51" s="24">
        <v>20</v>
      </c>
    </row>
    <row r="52" spans="1:11" ht="5.25" customHeight="1" x14ac:dyDescent="0.25">
      <c r="A52" s="113"/>
      <c r="B52" s="114"/>
      <c r="C52" s="115"/>
      <c r="D52" s="28"/>
      <c r="E52" s="28"/>
      <c r="F52" s="28"/>
      <c r="G52" s="28"/>
      <c r="H52" s="28"/>
      <c r="I52" s="28"/>
      <c r="J52" s="28"/>
      <c r="K52" s="29"/>
    </row>
    <row r="53" spans="1:11" s="60" customFormat="1" ht="15" x14ac:dyDescent="0.25">
      <c r="A53" s="98" t="s">
        <v>18</v>
      </c>
      <c r="B53" s="99"/>
      <c r="C53" s="100"/>
      <c r="D53" s="62">
        <f>SUM(D44:D51)</f>
        <v>2890</v>
      </c>
      <c r="E53" s="62">
        <f t="shared" ref="E53:J53" si="5">SUM(E44:E51)</f>
        <v>2880</v>
      </c>
      <c r="F53" s="78">
        <f>SUM(F44:F51)</f>
        <v>1991.5384615384612</v>
      </c>
      <c r="G53" s="78">
        <f>SUM(G44:G51)</f>
        <v>1446.666666666667</v>
      </c>
      <c r="H53" s="62">
        <f>SUM(H44:H51)</f>
        <v>2230</v>
      </c>
      <c r="I53" s="62">
        <f t="shared" si="5"/>
        <v>2290</v>
      </c>
      <c r="J53" s="62">
        <f t="shared" si="5"/>
        <v>3540</v>
      </c>
      <c r="K53" s="62">
        <v>20</v>
      </c>
    </row>
    <row r="54" spans="1:11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K54" s="3"/>
    </row>
    <row r="55" spans="1:11" ht="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33.75" x14ac:dyDescent="0.2">
      <c r="A56" s="107" t="s">
        <v>85</v>
      </c>
      <c r="B56" s="108"/>
      <c r="C56" s="109"/>
      <c r="D56" s="45" t="s">
        <v>6</v>
      </c>
      <c r="E56" s="45" t="s">
        <v>25</v>
      </c>
      <c r="F56" s="45" t="s">
        <v>32</v>
      </c>
      <c r="G56" s="45" t="s">
        <v>31</v>
      </c>
      <c r="H56" s="45" t="s">
        <v>55</v>
      </c>
      <c r="I56" s="45" t="s">
        <v>38</v>
      </c>
      <c r="J56" s="45" t="s">
        <v>34</v>
      </c>
      <c r="K56" s="45" t="s">
        <v>69</v>
      </c>
    </row>
    <row r="57" spans="1:11" x14ac:dyDescent="0.2">
      <c r="A57" s="95" t="s">
        <v>77</v>
      </c>
      <c r="B57" s="30" t="s">
        <v>65</v>
      </c>
      <c r="C57" s="30"/>
      <c r="D57" s="30">
        <v>20</v>
      </c>
      <c r="E57" s="30">
        <v>20</v>
      </c>
      <c r="F57" s="30">
        <v>20</v>
      </c>
      <c r="G57" s="30">
        <v>25</v>
      </c>
      <c r="H57" s="30">
        <v>20</v>
      </c>
      <c r="I57" s="30">
        <v>20</v>
      </c>
      <c r="J57" s="31">
        <v>30</v>
      </c>
      <c r="K57" s="30">
        <v>25</v>
      </c>
    </row>
    <row r="58" spans="1:11" x14ac:dyDescent="0.2">
      <c r="A58" s="95"/>
      <c r="B58" s="96" t="s">
        <v>63</v>
      </c>
      <c r="C58" s="97"/>
      <c r="D58" s="32">
        <v>6.7000000000000004E-2</v>
      </c>
      <c r="E58" s="32">
        <v>6.7000000000000004E-2</v>
      </c>
      <c r="F58" s="32">
        <v>6.7000000000000004E-2</v>
      </c>
      <c r="G58" s="32">
        <v>5.7500000000000002E-2</v>
      </c>
      <c r="H58" s="32">
        <v>6.7000000000000004E-2</v>
      </c>
      <c r="I58" s="32">
        <v>6.7000000000000004E-2</v>
      </c>
      <c r="J58" s="33">
        <v>5.0999999999999997E-2</v>
      </c>
      <c r="K58" s="32">
        <v>5.7500000000000002E-2</v>
      </c>
    </row>
    <row r="59" spans="1:11" x14ac:dyDescent="0.2">
      <c r="A59" s="95"/>
      <c r="B59" s="96" t="s">
        <v>64</v>
      </c>
      <c r="C59" s="97"/>
      <c r="D59" s="34">
        <f>0.067*(D28-D32)</f>
        <v>1407</v>
      </c>
      <c r="E59" s="34">
        <f t="shared" ref="E59:K59" si="6">0.067*(E28-E32)</f>
        <v>1547.7</v>
      </c>
      <c r="F59" s="34">
        <f>0.067*(F28-F32)</f>
        <v>1969.8000000000002</v>
      </c>
      <c r="G59" s="34">
        <f t="shared" si="6"/>
        <v>3078.5160000000001</v>
      </c>
      <c r="H59" s="34">
        <f t="shared" si="6"/>
        <v>1829.1000000000001</v>
      </c>
      <c r="I59" s="34">
        <f t="shared" si="6"/>
        <v>1603.98</v>
      </c>
      <c r="J59" s="34">
        <f t="shared" si="6"/>
        <v>872.34</v>
      </c>
      <c r="K59" s="34">
        <f t="shared" si="6"/>
        <v>742.89600000000007</v>
      </c>
    </row>
    <row r="60" spans="1:11" x14ac:dyDescent="0.2">
      <c r="A60" s="30" t="s">
        <v>19</v>
      </c>
      <c r="B60" s="30"/>
      <c r="C60" s="30"/>
      <c r="D60" s="30">
        <f>D40</f>
        <v>650</v>
      </c>
      <c r="E60" s="30">
        <f>E40</f>
        <v>600</v>
      </c>
      <c r="F60" s="30">
        <f>F40</f>
        <v>150</v>
      </c>
      <c r="G60" s="30">
        <f>G40</f>
        <v>100</v>
      </c>
      <c r="H60" s="30">
        <f>H40</f>
        <v>550</v>
      </c>
      <c r="I60" s="30">
        <f t="shared" ref="I60:K60" si="7">I40</f>
        <v>350</v>
      </c>
      <c r="J60" s="30">
        <f t="shared" si="7"/>
        <v>50</v>
      </c>
      <c r="K60" s="30">
        <f t="shared" si="7"/>
        <v>20</v>
      </c>
    </row>
    <row r="61" spans="1:11" x14ac:dyDescent="0.2">
      <c r="A61" s="30" t="s">
        <v>70</v>
      </c>
      <c r="B61" s="30"/>
      <c r="C61" s="30"/>
      <c r="D61" s="34">
        <f>D53</f>
        <v>2890</v>
      </c>
      <c r="E61" s="34">
        <f t="shared" ref="E61:K61" si="8">E53</f>
        <v>2880</v>
      </c>
      <c r="F61" s="34">
        <f>F53</f>
        <v>1991.5384615384612</v>
      </c>
      <c r="G61" s="34">
        <f>G53</f>
        <v>1446.666666666667</v>
      </c>
      <c r="H61" s="34">
        <f>H53</f>
        <v>2230</v>
      </c>
      <c r="I61" s="34">
        <f t="shared" si="8"/>
        <v>2290</v>
      </c>
      <c r="J61" s="34">
        <f t="shared" si="8"/>
        <v>3540</v>
      </c>
      <c r="K61" s="34">
        <f t="shared" si="8"/>
        <v>20</v>
      </c>
    </row>
    <row r="62" spans="1:11" x14ac:dyDescent="0.2">
      <c r="A62" s="30" t="s">
        <v>90</v>
      </c>
      <c r="B62" s="64">
        <v>24</v>
      </c>
      <c r="C62" s="30" t="s">
        <v>92</v>
      </c>
      <c r="D62" s="34">
        <f>B3*0.2/1000*B62</f>
        <v>144</v>
      </c>
      <c r="E62" s="34">
        <f>B3*0.2/1000*B62</f>
        <v>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0">
        <v>0</v>
      </c>
    </row>
    <row r="63" spans="1:11" ht="4.5" customHeight="1" x14ac:dyDescent="0.2">
      <c r="A63" s="30"/>
      <c r="B63" s="30"/>
      <c r="C63" s="30"/>
      <c r="D63" s="30"/>
      <c r="E63" s="30"/>
      <c r="F63" s="35"/>
      <c r="G63" s="30"/>
      <c r="H63" s="30"/>
      <c r="I63" s="30"/>
      <c r="J63" s="31"/>
      <c r="K63" s="34"/>
    </row>
    <row r="64" spans="1:11" ht="15" x14ac:dyDescent="0.25">
      <c r="A64" s="36" t="s">
        <v>67</v>
      </c>
      <c r="B64" s="36"/>
      <c r="C64" s="36"/>
      <c r="D64" s="37">
        <f t="shared" ref="D64:K64" si="9">SUM(D59:D61)</f>
        <v>4947</v>
      </c>
      <c r="E64" s="37">
        <f t="shared" si="9"/>
        <v>5027.7</v>
      </c>
      <c r="F64" s="37">
        <f t="shared" si="9"/>
        <v>4111.3384615384612</v>
      </c>
      <c r="G64" s="37">
        <f t="shared" si="9"/>
        <v>4625.1826666666675</v>
      </c>
      <c r="H64" s="37">
        <f t="shared" si="9"/>
        <v>4609.1000000000004</v>
      </c>
      <c r="I64" s="37">
        <f t="shared" si="9"/>
        <v>4243.9799999999996</v>
      </c>
      <c r="J64" s="37">
        <f t="shared" si="9"/>
        <v>4462.34</v>
      </c>
      <c r="K64" s="37">
        <f t="shared" si="9"/>
        <v>782.89600000000007</v>
      </c>
    </row>
    <row r="65" spans="1:11" ht="4.5" customHeight="1" x14ac:dyDescent="0.2">
      <c r="A65" s="30"/>
      <c r="B65" s="30"/>
      <c r="C65" s="30"/>
      <c r="D65" s="30"/>
      <c r="E65" s="30"/>
      <c r="F65" s="35"/>
      <c r="G65" s="30"/>
      <c r="H65" s="30"/>
      <c r="I65" s="30"/>
      <c r="J65" s="31"/>
      <c r="K65" s="30"/>
    </row>
    <row r="66" spans="1:11" ht="15" x14ac:dyDescent="0.25">
      <c r="A66" s="36" t="s">
        <v>22</v>
      </c>
      <c r="B66" s="36"/>
      <c r="C66" s="36"/>
      <c r="D66" s="36">
        <f>ROUND(D64/$B$3*100,1)</f>
        <v>16.5</v>
      </c>
      <c r="E66" s="36">
        <f t="shared" ref="E66:J66" si="10">ROUND(E64/$B$3*100,1)</f>
        <v>16.8</v>
      </c>
      <c r="F66" s="36">
        <f>ROUND(F64/$B$3*100,1)</f>
        <v>13.7</v>
      </c>
      <c r="G66" s="36">
        <f>ROUND(G64/$B$3*100,1)</f>
        <v>15.4</v>
      </c>
      <c r="H66" s="36">
        <f>ROUND(H64/$B$3*100,1)</f>
        <v>15.4</v>
      </c>
      <c r="I66" s="36">
        <f t="shared" si="10"/>
        <v>14.1</v>
      </c>
      <c r="J66" s="36">
        <f t="shared" si="10"/>
        <v>14.9</v>
      </c>
      <c r="K66" s="36">
        <f>ROUND(K64/2500*100,1)</f>
        <v>31.3</v>
      </c>
    </row>
    <row r="69" spans="1:11" ht="33.75" x14ac:dyDescent="0.2">
      <c r="A69" s="86" t="s">
        <v>74</v>
      </c>
      <c r="B69" s="87"/>
      <c r="C69" s="88"/>
      <c r="D69" s="72" t="s">
        <v>6</v>
      </c>
      <c r="E69" s="72" t="s">
        <v>25</v>
      </c>
      <c r="F69" s="72" t="s">
        <v>98</v>
      </c>
      <c r="G69" s="72" t="s">
        <v>97</v>
      </c>
      <c r="H69" s="72" t="s">
        <v>5</v>
      </c>
      <c r="I69" s="72" t="s">
        <v>38</v>
      </c>
      <c r="J69" s="72" t="s">
        <v>34</v>
      </c>
      <c r="K69" s="72" t="s">
        <v>37</v>
      </c>
    </row>
    <row r="70" spans="1:11" s="9" customFormat="1" ht="15" x14ac:dyDescent="0.25">
      <c r="A70" s="75" t="s">
        <v>75</v>
      </c>
      <c r="B70" s="75" t="s">
        <v>76</v>
      </c>
      <c r="C70" s="75"/>
      <c r="D70" s="76">
        <f>B8*2.977/1000</f>
        <v>8.9309999999999992</v>
      </c>
      <c r="E70" s="76">
        <f>B5*0.2279/1000</f>
        <v>6.8369999999999997</v>
      </c>
      <c r="F70" s="76">
        <f>B7*0.102/1000</f>
        <v>1.1769230769230767</v>
      </c>
      <c r="G70" s="76">
        <f>B4*0.102/1000</f>
        <v>0.85</v>
      </c>
      <c r="H70" s="76">
        <f>B6*0.0344</f>
        <v>0.2064</v>
      </c>
      <c r="I70" s="76">
        <f>B3/1790*0.011</f>
        <v>0.18435754189944131</v>
      </c>
      <c r="J70" s="76">
        <f>B3/5000*0.023</f>
        <v>0.13800000000000001</v>
      </c>
      <c r="K70" s="75"/>
    </row>
    <row r="71" spans="1:11" ht="12.75" x14ac:dyDescent="0.2">
      <c r="A71" s="82" t="s">
        <v>81</v>
      </c>
      <c r="B71" s="82" t="s">
        <v>84</v>
      </c>
      <c r="C71" s="79"/>
      <c r="D71" s="79"/>
      <c r="E71" s="80">
        <f>D70-E70</f>
        <v>2.0939999999999994</v>
      </c>
      <c r="F71" s="80">
        <f>D70-F70</f>
        <v>7.7540769230769229</v>
      </c>
      <c r="G71" s="80">
        <f>D70-G70</f>
        <v>8.0809999999999995</v>
      </c>
      <c r="H71" s="80">
        <f>D70-H70</f>
        <v>8.7245999999999988</v>
      </c>
      <c r="I71" s="80">
        <f>D70-I70</f>
        <v>8.746642458100558</v>
      </c>
      <c r="J71" s="80">
        <f>D70-J70</f>
        <v>8.7929999999999993</v>
      </c>
      <c r="K71" s="79"/>
    </row>
    <row r="72" spans="1:11" ht="12.75" x14ac:dyDescent="0.2">
      <c r="A72" s="82" t="s">
        <v>81</v>
      </c>
      <c r="B72" s="82" t="s">
        <v>82</v>
      </c>
      <c r="C72" s="79"/>
      <c r="D72" s="79"/>
      <c r="E72" s="81">
        <f>E71/D70</f>
        <v>0.23446422573060124</v>
      </c>
      <c r="F72" s="81">
        <f>F71/D70</f>
        <v>0.86822045941965331</v>
      </c>
      <c r="G72" s="81">
        <f>G71/D70</f>
        <v>0.90482588735863845</v>
      </c>
      <c r="H72" s="81">
        <f>H71/D70</f>
        <v>0.97688948605979165</v>
      </c>
      <c r="I72" s="81">
        <f>I71/D70</f>
        <v>0.97935757004820945</v>
      </c>
      <c r="J72" s="81">
        <f>J71/D70</f>
        <v>0.98454820288881428</v>
      </c>
      <c r="K72" s="79"/>
    </row>
    <row r="73" spans="1:11" x14ac:dyDescent="0.2">
      <c r="A73" t="s">
        <v>99</v>
      </c>
    </row>
  </sheetData>
  <mergeCells count="13">
    <mergeCell ref="A52:C52"/>
    <mergeCell ref="A12:C12"/>
    <mergeCell ref="A28:C28"/>
    <mergeCell ref="A34:C34"/>
    <mergeCell ref="A43:C43"/>
    <mergeCell ref="A51:C51"/>
    <mergeCell ref="A31:C31"/>
    <mergeCell ref="A69:C69"/>
    <mergeCell ref="A57:A59"/>
    <mergeCell ref="B58:C58"/>
    <mergeCell ref="B59:C59"/>
    <mergeCell ref="A53:C53"/>
    <mergeCell ref="A56:C56"/>
  </mergeCells>
  <phoneticPr fontId="0" type="noConversion"/>
  <pageMargins left="0.2" right="0.11" top="0.59" bottom="0.69" header="0.4921259845" footer="0.4921259845"/>
  <pageSetup paperSize="9" scale="93" orientation="landscape" verticalDpi="300" r:id="rId1"/>
  <headerFooter alignWithMargins="0"/>
  <rowBreaks count="4" manualBreakCount="4">
    <brk id="41" max="11" man="1"/>
    <brk id="73" max="11" man="1"/>
    <brk id="105" max="11" man="1"/>
    <brk id="13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1"/>
  <sheetViews>
    <sheetView topLeftCell="A16" zoomScale="90" zoomScaleNormal="90" workbookViewId="0">
      <selection activeCell="C45" sqref="C45"/>
    </sheetView>
  </sheetViews>
  <sheetFormatPr baseColWidth="10" defaultRowHeight="14.25" x14ac:dyDescent="0.2"/>
  <cols>
    <col min="1" max="1" width="26.42578125" customWidth="1"/>
    <col min="3" max="3" width="21.5703125" customWidth="1"/>
    <col min="4" max="4" width="10.140625" customWidth="1"/>
    <col min="5" max="5" width="10" customWidth="1"/>
    <col min="6" max="6" width="10.42578125" customWidth="1"/>
    <col min="7" max="7" width="11" customWidth="1"/>
    <col min="8" max="8" width="10" customWidth="1"/>
    <col min="9" max="9" width="11.5703125" style="12" customWidth="1"/>
    <col min="10" max="10" width="10" customWidth="1"/>
    <col min="11" max="11" width="4.7109375" customWidth="1"/>
  </cols>
  <sheetData>
    <row r="1" spans="1:10" ht="18" x14ac:dyDescent="0.25">
      <c r="A1" s="2" t="s">
        <v>103</v>
      </c>
      <c r="C1" s="15"/>
      <c r="E1" s="15" t="s">
        <v>51</v>
      </c>
    </row>
    <row r="2" spans="1:10" ht="5.85" customHeight="1" x14ac:dyDescent="0.2"/>
    <row r="3" spans="1:10" x14ac:dyDescent="0.2">
      <c r="A3" s="3" t="s">
        <v>0</v>
      </c>
      <c r="B3" s="4">
        <v>90000</v>
      </c>
      <c r="C3" s="3" t="s">
        <v>1</v>
      </c>
      <c r="D3" s="3"/>
      <c r="E3" s="3"/>
      <c r="F3" s="3"/>
      <c r="G3" s="14" t="s">
        <v>23</v>
      </c>
      <c r="H3" s="18">
        <v>620</v>
      </c>
      <c r="I3" s="3" t="s">
        <v>21</v>
      </c>
    </row>
    <row r="4" spans="1:10" x14ac:dyDescent="0.2">
      <c r="A4" s="3" t="s">
        <v>33</v>
      </c>
      <c r="B4" s="10">
        <f>B3/3.6</f>
        <v>25000</v>
      </c>
      <c r="C4" s="3" t="s">
        <v>29</v>
      </c>
      <c r="D4" s="3"/>
      <c r="E4" s="3"/>
      <c r="F4" s="3"/>
      <c r="G4" s="14" t="s">
        <v>44</v>
      </c>
      <c r="H4" s="7">
        <f>(3/4*B3/70)</f>
        <v>964.28571428571433</v>
      </c>
      <c r="I4" s="3" t="s">
        <v>52</v>
      </c>
      <c r="J4" s="3"/>
    </row>
    <row r="5" spans="1:10" x14ac:dyDescent="0.2">
      <c r="A5" s="3"/>
      <c r="B5" s="5">
        <f>B3/1</f>
        <v>90000</v>
      </c>
      <c r="C5" s="3" t="s">
        <v>94</v>
      </c>
      <c r="D5" s="3"/>
      <c r="E5" s="3"/>
      <c r="F5" s="3"/>
      <c r="G5" s="14" t="s">
        <v>45</v>
      </c>
      <c r="H5" s="7">
        <f>B3/H3</f>
        <v>145.16129032258064</v>
      </c>
      <c r="I5" s="3" t="s">
        <v>26</v>
      </c>
    </row>
    <row r="6" spans="1:10" x14ac:dyDescent="0.2">
      <c r="A6" s="3"/>
      <c r="B6" s="6">
        <f>B3/5000</f>
        <v>18</v>
      </c>
      <c r="C6" s="3" t="s">
        <v>3</v>
      </c>
      <c r="D6" s="3"/>
      <c r="E6" s="3"/>
      <c r="F6" s="3"/>
      <c r="G6" s="3"/>
      <c r="H6" s="3"/>
      <c r="J6" s="3"/>
    </row>
    <row r="7" spans="1:10" x14ac:dyDescent="0.2">
      <c r="A7" s="3"/>
      <c r="B7" s="5">
        <f>B3/2.6</f>
        <v>34615.384615384617</v>
      </c>
      <c r="C7" s="3" t="s">
        <v>30</v>
      </c>
      <c r="D7" s="3"/>
      <c r="E7" s="3"/>
      <c r="F7" s="3"/>
      <c r="G7" s="3"/>
      <c r="H7" s="3"/>
      <c r="J7" s="3"/>
    </row>
    <row r="8" spans="1:10" x14ac:dyDescent="0.2">
      <c r="A8" s="3"/>
      <c r="B8" s="5">
        <f>B3/10</f>
        <v>9000</v>
      </c>
      <c r="C8" s="3" t="s">
        <v>2</v>
      </c>
      <c r="D8" s="3"/>
      <c r="E8" s="3"/>
      <c r="F8" s="3"/>
      <c r="G8" s="3" t="s">
        <v>80</v>
      </c>
      <c r="H8" s="3"/>
      <c r="J8" s="3"/>
    </row>
    <row r="9" spans="1:10" x14ac:dyDescent="0.2">
      <c r="A9" s="3"/>
      <c r="B9" s="5">
        <f>B3*0.9</f>
        <v>81000</v>
      </c>
      <c r="C9" s="3" t="s">
        <v>35</v>
      </c>
      <c r="D9" s="3"/>
      <c r="E9" s="3"/>
      <c r="F9" s="3"/>
      <c r="G9" s="3"/>
      <c r="H9" s="3"/>
      <c r="J9" s="3"/>
    </row>
    <row r="10" spans="1:10" x14ac:dyDescent="0.2">
      <c r="A10" s="3"/>
      <c r="B10" s="5"/>
      <c r="C10" s="3"/>
      <c r="D10" s="3"/>
      <c r="E10" s="3"/>
      <c r="F10" s="3"/>
      <c r="G10" s="3"/>
      <c r="H10" s="3"/>
      <c r="J10" s="3"/>
    </row>
    <row r="11" spans="1:10" ht="33.75" customHeight="1" x14ac:dyDescent="0.2">
      <c r="A11" s="92" t="s">
        <v>4</v>
      </c>
      <c r="B11" s="93"/>
      <c r="C11" s="94"/>
      <c r="D11" s="50" t="s">
        <v>6</v>
      </c>
      <c r="E11" s="50" t="s">
        <v>25</v>
      </c>
      <c r="F11" s="50" t="s">
        <v>32</v>
      </c>
      <c r="G11" s="50" t="s">
        <v>31</v>
      </c>
      <c r="H11" s="50" t="s">
        <v>5</v>
      </c>
      <c r="I11" s="50" t="s">
        <v>34</v>
      </c>
      <c r="J11" s="50" t="s">
        <v>69</v>
      </c>
    </row>
    <row r="12" spans="1:10" x14ac:dyDescent="0.2">
      <c r="A12" s="43" t="s">
        <v>54</v>
      </c>
      <c r="B12" s="43"/>
      <c r="C12" s="43"/>
      <c r="D12" s="43">
        <v>0</v>
      </c>
      <c r="E12" s="43">
        <v>4000</v>
      </c>
      <c r="F12" s="43">
        <v>0</v>
      </c>
      <c r="G12" s="43">
        <v>0</v>
      </c>
      <c r="H12" s="43">
        <v>10000</v>
      </c>
      <c r="I12" s="43">
        <v>10000</v>
      </c>
      <c r="J12" s="43"/>
    </row>
    <row r="13" spans="1:10" x14ac:dyDescent="0.2">
      <c r="A13" s="43" t="s">
        <v>47</v>
      </c>
      <c r="B13" s="43"/>
      <c r="C13" s="43"/>
      <c r="D13" s="43">
        <v>3500</v>
      </c>
      <c r="E13" s="43">
        <v>3500</v>
      </c>
      <c r="F13" s="43">
        <v>3500</v>
      </c>
      <c r="G13" s="43">
        <v>3500</v>
      </c>
      <c r="H13" s="43">
        <v>3500</v>
      </c>
      <c r="I13" s="43">
        <v>3500</v>
      </c>
      <c r="J13" s="43"/>
    </row>
    <row r="14" spans="1:10" x14ac:dyDescent="0.2">
      <c r="A14" s="43" t="s">
        <v>56</v>
      </c>
      <c r="B14" s="43"/>
      <c r="C14" s="43"/>
      <c r="D14" s="43">
        <v>11000</v>
      </c>
      <c r="E14" s="43">
        <v>10000</v>
      </c>
      <c r="F14" s="43">
        <v>38000</v>
      </c>
      <c r="G14" s="43">
        <v>20000</v>
      </c>
      <c r="H14" s="43">
        <v>19000</v>
      </c>
      <c r="I14" s="43">
        <v>8000</v>
      </c>
      <c r="J14" s="43">
        <v>25000</v>
      </c>
    </row>
    <row r="15" spans="1:10" x14ac:dyDescent="0.2">
      <c r="A15" s="43" t="s">
        <v>53</v>
      </c>
      <c r="B15" s="43"/>
      <c r="C15" s="43"/>
      <c r="D15" s="43">
        <v>0</v>
      </c>
      <c r="E15" s="43">
        <v>0</v>
      </c>
      <c r="F15" s="43">
        <v>0</v>
      </c>
      <c r="G15" s="43">
        <f>ROUND(H4/10,0)*800</f>
        <v>76800</v>
      </c>
      <c r="H15" s="43">
        <v>0</v>
      </c>
      <c r="I15" s="43">
        <v>0</v>
      </c>
      <c r="J15" s="43"/>
    </row>
    <row r="16" spans="1:10" x14ac:dyDescent="0.2">
      <c r="A16" s="43" t="s">
        <v>49</v>
      </c>
      <c r="B16" s="43"/>
      <c r="C16" s="43"/>
      <c r="D16" s="43">
        <v>0</v>
      </c>
      <c r="E16" s="43">
        <v>0</v>
      </c>
      <c r="F16" s="43">
        <v>0</v>
      </c>
      <c r="G16" s="43">
        <v>0</v>
      </c>
      <c r="H16" s="43">
        <v>2000</v>
      </c>
      <c r="I16" s="43">
        <v>0</v>
      </c>
      <c r="J16" s="43"/>
    </row>
    <row r="17" spans="1:10" x14ac:dyDescent="0.2">
      <c r="A17" s="43" t="s">
        <v>50</v>
      </c>
      <c r="B17" s="43"/>
      <c r="C17" s="43"/>
      <c r="D17" s="43">
        <v>6000</v>
      </c>
      <c r="E17" s="43">
        <v>6000</v>
      </c>
      <c r="F17" s="43">
        <v>10000</v>
      </c>
      <c r="G17" s="43">
        <v>10000</v>
      </c>
      <c r="H17" s="43">
        <v>6000</v>
      </c>
      <c r="I17" s="43">
        <v>0</v>
      </c>
      <c r="J17" s="43"/>
    </row>
    <row r="18" spans="1:10" x14ac:dyDescent="0.2">
      <c r="A18" s="43" t="s">
        <v>46</v>
      </c>
      <c r="B18" s="43"/>
      <c r="C18" s="43"/>
      <c r="D18" s="43">
        <v>1000</v>
      </c>
      <c r="E18" s="43">
        <v>1000</v>
      </c>
      <c r="F18" s="43">
        <v>1000</v>
      </c>
      <c r="G18" s="43">
        <v>1000</v>
      </c>
      <c r="H18" s="43">
        <v>1000</v>
      </c>
      <c r="I18" s="43">
        <v>1000</v>
      </c>
      <c r="J18" s="43"/>
    </row>
    <row r="19" spans="1:10" x14ac:dyDescent="0.2">
      <c r="A19" s="43" t="s">
        <v>78</v>
      </c>
      <c r="B19" s="43"/>
      <c r="C19" s="43"/>
      <c r="D19" s="43">
        <v>3500</v>
      </c>
      <c r="E19" s="43">
        <v>3500</v>
      </c>
      <c r="F19" s="43">
        <v>0</v>
      </c>
      <c r="G19" s="43">
        <v>0</v>
      </c>
      <c r="H19" s="43">
        <v>1000</v>
      </c>
      <c r="I19" s="43">
        <v>0</v>
      </c>
      <c r="J19" s="43"/>
    </row>
    <row r="20" spans="1:10" x14ac:dyDescent="0.2">
      <c r="A20" s="43" t="s">
        <v>7</v>
      </c>
      <c r="B20" s="43"/>
      <c r="C20" s="43"/>
      <c r="D20" s="43">
        <v>4000</v>
      </c>
      <c r="E20" s="43">
        <v>2500</v>
      </c>
      <c r="F20" s="51">
        <v>3000</v>
      </c>
      <c r="G20" s="43">
        <v>3000</v>
      </c>
      <c r="H20" s="43">
        <v>4000</v>
      </c>
      <c r="I20" s="43">
        <v>3000</v>
      </c>
      <c r="J20" s="44"/>
    </row>
    <row r="21" spans="1:10" x14ac:dyDescent="0.2">
      <c r="A21" s="43" t="s">
        <v>8</v>
      </c>
      <c r="B21" s="43"/>
      <c r="C21" s="43"/>
      <c r="D21" s="43">
        <v>2000</v>
      </c>
      <c r="E21" s="43">
        <v>1500</v>
      </c>
      <c r="F21" s="43">
        <v>3000</v>
      </c>
      <c r="G21" s="43">
        <v>3000</v>
      </c>
      <c r="H21" s="43">
        <v>2000</v>
      </c>
      <c r="I21" s="43">
        <v>1000</v>
      </c>
      <c r="J21" s="43"/>
    </row>
    <row r="22" spans="1:10" ht="6.6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2">
      <c r="A23" s="43" t="s">
        <v>13</v>
      </c>
      <c r="B23" s="43"/>
      <c r="C23" s="43"/>
      <c r="D23" s="43">
        <f t="shared" ref="D23:J23" si="0">SUM(D12:D21)</f>
        <v>31000</v>
      </c>
      <c r="E23" s="43">
        <f t="shared" si="0"/>
        <v>32000</v>
      </c>
      <c r="F23" s="43">
        <f t="shared" si="0"/>
        <v>58500</v>
      </c>
      <c r="G23" s="43">
        <f t="shared" si="0"/>
        <v>117300</v>
      </c>
      <c r="H23" s="43">
        <f t="shared" si="0"/>
        <v>48500</v>
      </c>
      <c r="I23" s="43">
        <f t="shared" si="0"/>
        <v>26500</v>
      </c>
      <c r="J23" s="43">
        <f t="shared" si="0"/>
        <v>25000</v>
      </c>
    </row>
    <row r="24" spans="1:10" x14ac:dyDescent="0.2">
      <c r="A24" s="43" t="s">
        <v>58</v>
      </c>
      <c r="B24" s="43"/>
      <c r="C24" s="43"/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4600</v>
      </c>
    </row>
    <row r="25" spans="1:10" s="23" customFormat="1" x14ac:dyDescent="0.2">
      <c r="A25" s="119" t="s">
        <v>57</v>
      </c>
      <c r="B25" s="120"/>
      <c r="C25" s="121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23" customFormat="1" ht="6.75" customHeight="1" x14ac:dyDescent="0.2">
      <c r="A26" s="68"/>
      <c r="B26" s="69"/>
      <c r="C26" s="70"/>
      <c r="D26" s="63"/>
      <c r="E26" s="63"/>
      <c r="F26" s="63"/>
      <c r="G26" s="63"/>
      <c r="H26" s="63"/>
      <c r="I26" s="63"/>
      <c r="J26" s="63"/>
    </row>
    <row r="27" spans="1:10" s="57" customFormat="1" ht="15.75" customHeight="1" x14ac:dyDescent="0.25">
      <c r="A27" s="116" t="s">
        <v>86</v>
      </c>
      <c r="B27" s="117"/>
      <c r="C27" s="118"/>
      <c r="D27" s="61">
        <f>D23-D24-D25</f>
        <v>31000</v>
      </c>
      <c r="E27" s="61">
        <f>E23-E24-E25</f>
        <v>32000</v>
      </c>
      <c r="F27" s="61">
        <f>F23-F24-F25</f>
        <v>58500</v>
      </c>
      <c r="G27" s="61">
        <f>G23-G24-G25</f>
        <v>117300</v>
      </c>
      <c r="H27" s="61">
        <f>H23-H24-H25</f>
        <v>48500</v>
      </c>
      <c r="I27" s="61">
        <f t="shared" ref="I27:J27" si="1">I23-I24-I25</f>
        <v>26500</v>
      </c>
      <c r="J27" s="61">
        <f t="shared" si="1"/>
        <v>20400</v>
      </c>
    </row>
    <row r="28" spans="1:10" s="57" customFormat="1" ht="15" customHeight="1" x14ac:dyDescent="0.2">
      <c r="A28" s="3" t="s">
        <v>88</v>
      </c>
      <c r="B28" s="3"/>
      <c r="C28" s="3"/>
      <c r="D28" s="3"/>
      <c r="E28" s="3"/>
      <c r="F28" s="3"/>
      <c r="G28" s="3"/>
      <c r="H28" s="3"/>
      <c r="I28" s="12"/>
      <c r="J28" s="3"/>
    </row>
    <row r="29" spans="1:10" ht="14.2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6.5" customHeight="1" x14ac:dyDescent="0.25">
      <c r="A30" s="110" t="s">
        <v>95</v>
      </c>
      <c r="B30" s="111"/>
      <c r="C30" s="112"/>
      <c r="D30" s="83"/>
      <c r="E30" s="83"/>
      <c r="F30" s="83"/>
      <c r="G30" s="83"/>
      <c r="H30" s="83"/>
      <c r="I30" s="83"/>
      <c r="J30" s="83"/>
    </row>
    <row r="31" spans="1:10" ht="16.5" customHeight="1" x14ac:dyDescent="0.2">
      <c r="A31" s="83" t="s">
        <v>100</v>
      </c>
      <c r="B31" s="83"/>
      <c r="C31" s="83"/>
      <c r="D31" s="83">
        <f t="shared" ref="D31:I31" si="2">D27*0.16</f>
        <v>4960</v>
      </c>
      <c r="E31" s="83">
        <f t="shared" si="2"/>
        <v>5120</v>
      </c>
      <c r="F31" s="83">
        <f t="shared" si="2"/>
        <v>9360</v>
      </c>
      <c r="G31" s="83">
        <f t="shared" si="2"/>
        <v>18768</v>
      </c>
      <c r="H31" s="83">
        <f t="shared" si="2"/>
        <v>7760</v>
      </c>
      <c r="I31" s="83">
        <f t="shared" si="2"/>
        <v>4240</v>
      </c>
      <c r="J31" s="83">
        <f t="shared" ref="J31" si="3">J27*0.16</f>
        <v>3264</v>
      </c>
    </row>
    <row r="33" spans="1:10" ht="33.75" customHeight="1" x14ac:dyDescent="0.2">
      <c r="A33" s="122" t="s">
        <v>9</v>
      </c>
      <c r="B33" s="122"/>
      <c r="C33" s="122"/>
      <c r="D33" s="48" t="s">
        <v>6</v>
      </c>
      <c r="E33" s="48" t="s">
        <v>25</v>
      </c>
      <c r="F33" s="48" t="s">
        <v>32</v>
      </c>
      <c r="G33" s="48" t="s">
        <v>31</v>
      </c>
      <c r="H33" s="48" t="s">
        <v>5</v>
      </c>
      <c r="I33" s="48" t="s">
        <v>34</v>
      </c>
      <c r="J33" s="48" t="s">
        <v>69</v>
      </c>
    </row>
    <row r="34" spans="1:10" x14ac:dyDescent="0.2">
      <c r="A34" s="47" t="s">
        <v>10</v>
      </c>
      <c r="B34" s="47"/>
      <c r="C34" s="47"/>
      <c r="D34" s="47">
        <v>300</v>
      </c>
      <c r="E34" s="47">
        <v>200</v>
      </c>
      <c r="F34" s="47">
        <v>0</v>
      </c>
      <c r="G34" s="47">
        <v>0</v>
      </c>
      <c r="H34" s="47">
        <v>200</v>
      </c>
      <c r="I34" s="47">
        <v>0</v>
      </c>
      <c r="J34" s="49">
        <v>0</v>
      </c>
    </row>
    <row r="35" spans="1:10" x14ac:dyDescent="0.2">
      <c r="A35" s="47" t="s">
        <v>73</v>
      </c>
      <c r="B35" s="47"/>
      <c r="C35" s="47"/>
      <c r="D35" s="47">
        <v>100</v>
      </c>
      <c r="E35" s="47">
        <v>250</v>
      </c>
      <c r="F35" s="47">
        <v>0</v>
      </c>
      <c r="G35" s="47">
        <v>0</v>
      </c>
      <c r="H35" s="47">
        <v>0</v>
      </c>
      <c r="I35" s="47">
        <v>0</v>
      </c>
      <c r="J35" s="49">
        <v>0</v>
      </c>
    </row>
    <row r="36" spans="1:10" x14ac:dyDescent="0.2">
      <c r="A36" s="47" t="s">
        <v>11</v>
      </c>
      <c r="B36" s="47"/>
      <c r="C36" s="47"/>
      <c r="D36" s="47">
        <v>50</v>
      </c>
      <c r="E36" s="47">
        <v>50</v>
      </c>
      <c r="F36" s="47">
        <v>0</v>
      </c>
      <c r="G36" s="47">
        <v>0</v>
      </c>
      <c r="H36" s="47">
        <v>50</v>
      </c>
      <c r="I36" s="47">
        <v>0</v>
      </c>
      <c r="J36" s="49">
        <v>0</v>
      </c>
    </row>
    <row r="37" spans="1:10" x14ac:dyDescent="0.2">
      <c r="A37" s="47" t="s">
        <v>72</v>
      </c>
      <c r="B37" s="47"/>
      <c r="C37" s="47"/>
      <c r="D37" s="47">
        <v>450</v>
      </c>
      <c r="E37" s="47">
        <v>250</v>
      </c>
      <c r="F37" s="47">
        <v>250</v>
      </c>
      <c r="G37" s="47">
        <v>150</v>
      </c>
      <c r="H37" s="47">
        <v>400</v>
      </c>
      <c r="I37" s="47">
        <v>50</v>
      </c>
      <c r="J37" s="47">
        <v>20</v>
      </c>
    </row>
    <row r="38" spans="1:10" ht="5.25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9"/>
    </row>
    <row r="39" spans="1:10" ht="15" x14ac:dyDescent="0.25">
      <c r="A39" s="58" t="s">
        <v>12</v>
      </c>
      <c r="B39" s="58"/>
      <c r="C39" s="58"/>
      <c r="D39" s="58">
        <f>SUM(D34:D37)</f>
        <v>900</v>
      </c>
      <c r="E39" s="58">
        <f t="shared" ref="E39:J39" si="4">SUM(E34:E37)</f>
        <v>750</v>
      </c>
      <c r="F39" s="58">
        <f>SUM(F34:F37)</f>
        <v>250</v>
      </c>
      <c r="G39" s="58">
        <f>SUM(G34:G37)</f>
        <v>150</v>
      </c>
      <c r="H39" s="58">
        <f>SUM(H34:H37)</f>
        <v>650</v>
      </c>
      <c r="I39" s="58">
        <f t="shared" si="4"/>
        <v>50</v>
      </c>
      <c r="J39" s="58">
        <f t="shared" si="4"/>
        <v>20</v>
      </c>
    </row>
    <row r="40" spans="1:10" s="41" customForma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9.5" customHeight="1" x14ac:dyDescent="0.2">
      <c r="A41" s="3"/>
      <c r="B41" s="3"/>
      <c r="C41" s="3"/>
      <c r="D41" s="3"/>
      <c r="E41" s="3"/>
      <c r="F41" s="3"/>
      <c r="G41" s="3"/>
      <c r="H41" s="3"/>
      <c r="J41" s="3"/>
    </row>
    <row r="42" spans="1:10" ht="33.75" customHeight="1" x14ac:dyDescent="0.2">
      <c r="A42" s="104" t="s">
        <v>20</v>
      </c>
      <c r="B42" s="105"/>
      <c r="C42" s="106"/>
      <c r="D42" s="46" t="s">
        <v>6</v>
      </c>
      <c r="E42" s="46" t="s">
        <v>25</v>
      </c>
      <c r="F42" s="46" t="s">
        <v>32</v>
      </c>
      <c r="G42" s="46" t="s">
        <v>31</v>
      </c>
      <c r="H42" s="46" t="s">
        <v>5</v>
      </c>
      <c r="I42" s="46" t="s">
        <v>34</v>
      </c>
      <c r="J42" s="46" t="s">
        <v>69</v>
      </c>
    </row>
    <row r="43" spans="1:10" x14ac:dyDescent="0.2">
      <c r="A43" s="24" t="s">
        <v>28</v>
      </c>
      <c r="B43" s="64">
        <v>15</v>
      </c>
      <c r="C43" s="24" t="s">
        <v>24</v>
      </c>
      <c r="D43" s="24"/>
      <c r="E43" s="24"/>
      <c r="F43" s="26"/>
      <c r="G43" s="25">
        <f>B3/3.6*B43/100</f>
        <v>3750</v>
      </c>
      <c r="H43" s="24"/>
      <c r="I43" s="24"/>
      <c r="J43" s="27"/>
    </row>
    <row r="44" spans="1:10" x14ac:dyDescent="0.2">
      <c r="A44" s="24" t="s">
        <v>25</v>
      </c>
      <c r="B44" s="64">
        <v>8</v>
      </c>
      <c r="C44" s="24" t="s">
        <v>24</v>
      </c>
      <c r="D44" s="24"/>
      <c r="E44" s="25">
        <f>B5*B44/100+200</f>
        <v>7400</v>
      </c>
      <c r="F44" s="26"/>
      <c r="G44" s="24"/>
      <c r="H44" s="24"/>
      <c r="I44" s="24"/>
      <c r="J44" s="27"/>
    </row>
    <row r="45" spans="1:10" x14ac:dyDescent="0.2">
      <c r="A45" s="24" t="s">
        <v>5</v>
      </c>
      <c r="B45" s="64">
        <v>360</v>
      </c>
      <c r="C45" s="24" t="s">
        <v>16</v>
      </c>
      <c r="D45" s="24"/>
      <c r="E45" s="24"/>
      <c r="F45" s="26"/>
      <c r="G45" s="24"/>
      <c r="H45" s="24">
        <f>B6*B45</f>
        <v>6480</v>
      </c>
      <c r="I45" s="24"/>
      <c r="J45" s="27"/>
    </row>
    <row r="46" spans="1:10" x14ac:dyDescent="0.2">
      <c r="A46" s="24" t="s">
        <v>27</v>
      </c>
      <c r="B46" s="64">
        <v>15</v>
      </c>
      <c r="C46" s="24" t="s">
        <v>24</v>
      </c>
      <c r="D46" s="25"/>
      <c r="E46" s="24"/>
      <c r="F46" s="77">
        <f>B3/2.6*B46/100</f>
        <v>5192.3076923076924</v>
      </c>
      <c r="G46" s="24"/>
      <c r="H46" s="24"/>
      <c r="I46" s="24"/>
      <c r="J46" s="27"/>
    </row>
    <row r="47" spans="1:10" x14ac:dyDescent="0.2">
      <c r="A47" s="24" t="s">
        <v>14</v>
      </c>
      <c r="B47" s="64">
        <v>90</v>
      </c>
      <c r="C47" s="24" t="s">
        <v>17</v>
      </c>
      <c r="D47" s="24">
        <f>B8*B47/100</f>
        <v>8100</v>
      </c>
      <c r="E47" s="24"/>
      <c r="F47" s="26"/>
      <c r="G47" s="24"/>
      <c r="H47" s="24"/>
      <c r="I47" s="25"/>
      <c r="J47" s="27"/>
    </row>
    <row r="48" spans="1:10" x14ac:dyDescent="0.2">
      <c r="A48" s="24" t="s">
        <v>34</v>
      </c>
      <c r="B48" s="64">
        <v>12</v>
      </c>
      <c r="C48" s="24" t="s">
        <v>24</v>
      </c>
      <c r="D48" s="24"/>
      <c r="E48" s="24"/>
      <c r="F48" s="26"/>
      <c r="G48" s="24"/>
      <c r="H48" s="24"/>
      <c r="I48" s="25">
        <f>B9*B48/100</f>
        <v>9720</v>
      </c>
      <c r="J48" s="27"/>
    </row>
    <row r="49" spans="1:10" x14ac:dyDescent="0.2">
      <c r="A49" s="24" t="s">
        <v>15</v>
      </c>
      <c r="B49" s="24"/>
      <c r="C49" s="24"/>
      <c r="D49" s="24">
        <v>50</v>
      </c>
      <c r="E49" s="24">
        <v>40</v>
      </c>
      <c r="F49" s="25">
        <v>40</v>
      </c>
      <c r="G49" s="24">
        <v>40</v>
      </c>
      <c r="H49" s="24">
        <v>40</v>
      </c>
      <c r="I49" s="25">
        <v>40</v>
      </c>
      <c r="J49" s="27">
        <v>20</v>
      </c>
    </row>
    <row r="50" spans="1:10" ht="5.25" customHeight="1" x14ac:dyDescent="0.2">
      <c r="A50" s="101"/>
      <c r="B50" s="102"/>
      <c r="C50" s="103"/>
      <c r="D50" s="24"/>
      <c r="E50" s="24"/>
      <c r="F50" s="24"/>
      <c r="G50" s="24"/>
      <c r="H50" s="24"/>
      <c r="I50" s="24"/>
      <c r="J50" s="24"/>
    </row>
    <row r="51" spans="1:10" s="23" customFormat="1" ht="15" x14ac:dyDescent="0.25">
      <c r="A51" s="98" t="s">
        <v>18</v>
      </c>
      <c r="B51" s="99"/>
      <c r="C51" s="100"/>
      <c r="D51" s="53">
        <f>SUM(D43:D49)</f>
        <v>8150</v>
      </c>
      <c r="E51" s="53">
        <f t="shared" ref="E51:I51" si="5">SUM(E43:E49)</f>
        <v>7440</v>
      </c>
      <c r="F51" s="53">
        <f>SUM(F43:F49)</f>
        <v>5232.3076923076924</v>
      </c>
      <c r="G51" s="53">
        <f>SUM(G43:G49)</f>
        <v>3790</v>
      </c>
      <c r="H51" s="53">
        <f>SUM(H43:H49)</f>
        <v>6520</v>
      </c>
      <c r="I51" s="53">
        <f t="shared" si="5"/>
        <v>9760</v>
      </c>
      <c r="J51" s="53">
        <v>20</v>
      </c>
    </row>
    <row r="52" spans="1:10" x14ac:dyDescent="0.2">
      <c r="A52" s="3"/>
      <c r="B52" s="3"/>
      <c r="C52" s="3"/>
      <c r="D52" s="3"/>
      <c r="E52" s="3"/>
      <c r="F52" s="3"/>
      <c r="G52" s="3"/>
      <c r="H52" s="3"/>
      <c r="J52" s="3"/>
    </row>
    <row r="54" spans="1:10" ht="33.75" x14ac:dyDescent="0.2">
      <c r="A54" s="107" t="s">
        <v>85</v>
      </c>
      <c r="B54" s="108"/>
      <c r="C54" s="109"/>
      <c r="D54" s="45" t="s">
        <v>6</v>
      </c>
      <c r="E54" s="45" t="s">
        <v>25</v>
      </c>
      <c r="F54" s="45" t="s">
        <v>32</v>
      </c>
      <c r="G54" s="45" t="s">
        <v>31</v>
      </c>
      <c r="H54" s="45" t="s">
        <v>5</v>
      </c>
      <c r="I54" s="45" t="s">
        <v>36</v>
      </c>
      <c r="J54" s="45" t="s">
        <v>37</v>
      </c>
    </row>
    <row r="55" spans="1:10" x14ac:dyDescent="0.2">
      <c r="A55" s="95" t="s">
        <v>77</v>
      </c>
      <c r="B55" s="30" t="s">
        <v>65</v>
      </c>
      <c r="C55" s="30"/>
      <c r="D55" s="30">
        <v>20</v>
      </c>
      <c r="E55" s="30">
        <v>20</v>
      </c>
      <c r="F55" s="30">
        <v>20</v>
      </c>
      <c r="G55" s="30">
        <v>25</v>
      </c>
      <c r="H55" s="30">
        <v>20</v>
      </c>
      <c r="I55" s="31">
        <v>30</v>
      </c>
      <c r="J55" s="30">
        <v>25</v>
      </c>
    </row>
    <row r="56" spans="1:10" x14ac:dyDescent="0.2">
      <c r="A56" s="95"/>
      <c r="B56" s="96" t="s">
        <v>63</v>
      </c>
      <c r="C56" s="97"/>
      <c r="D56" s="32">
        <v>6.7000000000000004E-2</v>
      </c>
      <c r="E56" s="32">
        <v>6.7000000000000004E-2</v>
      </c>
      <c r="F56" s="32">
        <v>6.7000000000000004E-2</v>
      </c>
      <c r="G56" s="32">
        <v>5.7500000000000002E-2</v>
      </c>
      <c r="H56" s="32">
        <v>6.7000000000000004E-2</v>
      </c>
      <c r="I56" s="33">
        <v>5.0999999999999997E-2</v>
      </c>
      <c r="J56" s="32">
        <v>5.7500000000000002E-2</v>
      </c>
    </row>
    <row r="57" spans="1:10" x14ac:dyDescent="0.2">
      <c r="A57" s="95"/>
      <c r="B57" s="96" t="s">
        <v>64</v>
      </c>
      <c r="C57" s="97"/>
      <c r="D57" s="34">
        <f>(D27-D31)*0.067</f>
        <v>1744.68</v>
      </c>
      <c r="E57" s="34">
        <f t="shared" ref="E57:J57" si="6">(E27-E31)*0.067</f>
        <v>1800.96</v>
      </c>
      <c r="F57" s="34">
        <f t="shared" si="6"/>
        <v>3292.38</v>
      </c>
      <c r="G57" s="34">
        <f t="shared" si="6"/>
        <v>6601.6440000000002</v>
      </c>
      <c r="H57" s="34">
        <f t="shared" si="6"/>
        <v>2729.5800000000004</v>
      </c>
      <c r="I57" s="34">
        <f t="shared" si="6"/>
        <v>1491.42</v>
      </c>
      <c r="J57" s="34">
        <f t="shared" si="6"/>
        <v>1148.1120000000001</v>
      </c>
    </row>
    <row r="58" spans="1:10" x14ac:dyDescent="0.2">
      <c r="A58" s="30" t="s">
        <v>19</v>
      </c>
      <c r="B58" s="30"/>
      <c r="C58" s="30"/>
      <c r="D58" s="30">
        <f>D39</f>
        <v>900</v>
      </c>
      <c r="E58" s="30">
        <f t="shared" ref="E58:J58" si="7">E39</f>
        <v>750</v>
      </c>
      <c r="F58" s="30">
        <f>F39</f>
        <v>250</v>
      </c>
      <c r="G58" s="30">
        <f>G39</f>
        <v>150</v>
      </c>
      <c r="H58" s="30">
        <f>H39</f>
        <v>650</v>
      </c>
      <c r="I58" s="30">
        <f t="shared" si="7"/>
        <v>50</v>
      </c>
      <c r="J58" s="30">
        <f t="shared" si="7"/>
        <v>20</v>
      </c>
    </row>
    <row r="59" spans="1:10" x14ac:dyDescent="0.2">
      <c r="A59" s="30" t="s">
        <v>70</v>
      </c>
      <c r="B59" s="30"/>
      <c r="C59" s="30"/>
      <c r="D59" s="34">
        <f>D51</f>
        <v>8150</v>
      </c>
      <c r="E59" s="34">
        <f t="shared" ref="E59:J59" si="8">E51</f>
        <v>7440</v>
      </c>
      <c r="F59" s="34">
        <f>F51</f>
        <v>5232.3076923076924</v>
      </c>
      <c r="G59" s="34">
        <f>G51</f>
        <v>3790</v>
      </c>
      <c r="H59" s="34">
        <f>H51</f>
        <v>6520</v>
      </c>
      <c r="I59" s="34">
        <f t="shared" si="8"/>
        <v>9760</v>
      </c>
      <c r="J59" s="34">
        <f t="shared" si="8"/>
        <v>20</v>
      </c>
    </row>
    <row r="60" spans="1:10" x14ac:dyDescent="0.2">
      <c r="A60" s="30" t="s">
        <v>90</v>
      </c>
      <c r="B60" s="64">
        <v>24</v>
      </c>
      <c r="C60" s="30" t="s">
        <v>91</v>
      </c>
      <c r="D60" s="34">
        <f>B3*0.26/1000*B60</f>
        <v>561.59999999999991</v>
      </c>
      <c r="E60" s="34">
        <f>B3*0.2/1000*B60</f>
        <v>432</v>
      </c>
      <c r="F60" s="34">
        <v>0</v>
      </c>
      <c r="G60" s="34">
        <v>0</v>
      </c>
      <c r="H60" s="34">
        <v>0</v>
      </c>
      <c r="I60" s="34">
        <v>0</v>
      </c>
      <c r="J60" s="30">
        <v>0</v>
      </c>
    </row>
    <row r="61" spans="1:10" ht="7.5" customHeight="1" x14ac:dyDescent="0.2">
      <c r="A61" s="30"/>
      <c r="B61" s="30"/>
      <c r="C61" s="30"/>
      <c r="D61" s="30"/>
      <c r="E61" s="30"/>
      <c r="F61" s="30"/>
      <c r="G61" s="30"/>
      <c r="H61" s="30"/>
      <c r="I61" s="31"/>
      <c r="J61" s="34"/>
    </row>
    <row r="62" spans="1:10" ht="15" x14ac:dyDescent="0.25">
      <c r="A62" s="36" t="s">
        <v>67</v>
      </c>
      <c r="B62" s="36"/>
      <c r="C62" s="36"/>
      <c r="D62" s="37">
        <f t="shared" ref="D62:J62" si="9">SUM(D57:D59)</f>
        <v>10794.68</v>
      </c>
      <c r="E62" s="37">
        <f t="shared" si="9"/>
        <v>9990.9599999999991</v>
      </c>
      <c r="F62" s="37">
        <f t="shared" si="9"/>
        <v>8774.6876923076925</v>
      </c>
      <c r="G62" s="37">
        <f t="shared" si="9"/>
        <v>10541.644</v>
      </c>
      <c r="H62" s="37">
        <f t="shared" si="9"/>
        <v>9899.58</v>
      </c>
      <c r="I62" s="37">
        <f t="shared" si="9"/>
        <v>11301.42</v>
      </c>
      <c r="J62" s="37">
        <f t="shared" si="9"/>
        <v>1188.1120000000001</v>
      </c>
    </row>
    <row r="63" spans="1:10" ht="6" customHeight="1" x14ac:dyDescent="0.2">
      <c r="A63" s="30"/>
      <c r="B63" s="30"/>
      <c r="C63" s="30"/>
      <c r="D63" s="30"/>
      <c r="E63" s="30"/>
      <c r="F63" s="30"/>
      <c r="G63" s="30"/>
      <c r="H63" s="30"/>
      <c r="I63" s="31"/>
      <c r="J63" s="30"/>
    </row>
    <row r="64" spans="1:10" ht="15" x14ac:dyDescent="0.25">
      <c r="A64" s="36" t="s">
        <v>22</v>
      </c>
      <c r="B64" s="36"/>
      <c r="C64" s="36"/>
      <c r="D64" s="36">
        <f>ROUND(D62/$B$3*100,1)</f>
        <v>12</v>
      </c>
      <c r="E64" s="36">
        <f t="shared" ref="E64:I64" si="10">ROUND(E62/$B$3*100,1)</f>
        <v>11.1</v>
      </c>
      <c r="F64" s="36">
        <f>ROUND(F62/$B$3*100,1)</f>
        <v>9.6999999999999993</v>
      </c>
      <c r="G64" s="36">
        <f>ROUND(G62/$B$3*100,1)</f>
        <v>11.7</v>
      </c>
      <c r="H64" s="36">
        <f>ROUND(H62/$B$3*100,1)</f>
        <v>11</v>
      </c>
      <c r="I64" s="36">
        <f t="shared" si="10"/>
        <v>12.6</v>
      </c>
      <c r="J64" s="36">
        <f>ROUND(J62/5400*100,1)</f>
        <v>22</v>
      </c>
    </row>
    <row r="67" spans="1:11" ht="33.75" x14ac:dyDescent="0.2">
      <c r="A67" s="86" t="s">
        <v>74</v>
      </c>
      <c r="B67" s="87"/>
      <c r="C67" s="88"/>
      <c r="D67" s="72" t="s">
        <v>6</v>
      </c>
      <c r="E67" s="72" t="s">
        <v>25</v>
      </c>
      <c r="F67" s="72" t="s">
        <v>98</v>
      </c>
      <c r="G67" s="72" t="s">
        <v>97</v>
      </c>
      <c r="H67" s="72" t="s">
        <v>5</v>
      </c>
      <c r="I67" s="72" t="s">
        <v>34</v>
      </c>
      <c r="J67" s="72" t="s">
        <v>37</v>
      </c>
    </row>
    <row r="68" spans="1:11" s="9" customFormat="1" ht="15" x14ac:dyDescent="0.25">
      <c r="A68" s="75" t="s">
        <v>75</v>
      </c>
      <c r="B68" s="75" t="s">
        <v>76</v>
      </c>
      <c r="C68" s="75"/>
      <c r="D68" s="76">
        <f>B8*2.977/1000</f>
        <v>26.792999999999999</v>
      </c>
      <c r="E68" s="76">
        <f>B5*0.23/1000</f>
        <v>20.7</v>
      </c>
      <c r="F68" s="76">
        <f>B7*0.102/1000</f>
        <v>3.5307692307692307</v>
      </c>
      <c r="G68" s="76">
        <f>B4*0.102/1000</f>
        <v>2.5499999999999998</v>
      </c>
      <c r="H68" s="76">
        <f>B6*0.0344</f>
        <v>0.61919999999999997</v>
      </c>
      <c r="I68" s="76">
        <f>B3/5000*0.023</f>
        <v>0.41399999999999998</v>
      </c>
      <c r="J68" s="75"/>
      <c r="K68" s="40"/>
    </row>
    <row r="69" spans="1:11" ht="12.75" x14ac:dyDescent="0.2">
      <c r="A69" s="82" t="s">
        <v>81</v>
      </c>
      <c r="B69" s="82" t="s">
        <v>84</v>
      </c>
      <c r="C69" s="79"/>
      <c r="D69" s="79"/>
      <c r="E69" s="80">
        <f>D68-E68</f>
        <v>6.093</v>
      </c>
      <c r="F69" s="80">
        <f>D68-F68</f>
        <v>23.262230769230769</v>
      </c>
      <c r="G69" s="80">
        <f>D68-G68</f>
        <v>24.242999999999999</v>
      </c>
      <c r="H69" s="80">
        <f>D68-H68</f>
        <v>26.1738</v>
      </c>
      <c r="I69" s="80">
        <f>D68-I68</f>
        <v>26.378999999999998</v>
      </c>
      <c r="J69" s="79"/>
    </row>
    <row r="70" spans="1:11" ht="12.75" x14ac:dyDescent="0.2">
      <c r="A70" s="82" t="s">
        <v>81</v>
      </c>
      <c r="B70" s="82" t="s">
        <v>82</v>
      </c>
      <c r="C70" s="79"/>
      <c r="D70" s="79"/>
      <c r="E70" s="81">
        <f>E69/D68</f>
        <v>0.22741014444071214</v>
      </c>
      <c r="F70" s="81">
        <f>F69/D68</f>
        <v>0.8682204594196532</v>
      </c>
      <c r="G70" s="81">
        <f>G69/D68</f>
        <v>0.90482588735863845</v>
      </c>
      <c r="H70" s="81">
        <f>H69/D68</f>
        <v>0.97688948605979176</v>
      </c>
      <c r="I70" s="81">
        <f>I69/D68</f>
        <v>0.98454820288881417</v>
      </c>
      <c r="J70" s="79"/>
    </row>
    <row r="71" spans="1:11" x14ac:dyDescent="0.2">
      <c r="A71" t="s">
        <v>99</v>
      </c>
    </row>
  </sheetData>
  <mergeCells count="13">
    <mergeCell ref="A50:C50"/>
    <mergeCell ref="A51:C51"/>
    <mergeCell ref="A11:C11"/>
    <mergeCell ref="A25:C25"/>
    <mergeCell ref="A27:C27"/>
    <mergeCell ref="A33:C33"/>
    <mergeCell ref="A42:C42"/>
    <mergeCell ref="A30:C30"/>
    <mergeCell ref="A67:C67"/>
    <mergeCell ref="A54:C54"/>
    <mergeCell ref="A55:A57"/>
    <mergeCell ref="B56:C56"/>
    <mergeCell ref="B57:C57"/>
  </mergeCells>
  <phoneticPr fontId="0" type="noConversion"/>
  <pageMargins left="0.2" right="0.11" top="0.59" bottom="0.69" header="0.4921259845" footer="0.4921259845"/>
  <pageSetup paperSize="9" scale="76" orientation="landscape" verticalDpi="300" r:id="rId1"/>
  <headerFooter alignWithMargins="0"/>
  <rowBreaks count="4" manualBreakCount="4">
    <brk id="40" max="16383" man="1"/>
    <brk id="72" max="10" man="1"/>
    <brk id="103" max="10" man="1"/>
    <brk id="13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B9" sqref="B9"/>
    </sheetView>
  </sheetViews>
  <sheetFormatPr baseColWidth="10" defaultRowHeight="12.75" x14ac:dyDescent="0.2"/>
  <cols>
    <col min="1" max="1" width="15.5703125" customWidth="1"/>
  </cols>
  <sheetData>
    <row r="1" spans="1:2" x14ac:dyDescent="0.2">
      <c r="A1" t="s">
        <v>59</v>
      </c>
    </row>
    <row r="3" spans="1:2" x14ac:dyDescent="0.2">
      <c r="A3" t="s">
        <v>60</v>
      </c>
      <c r="B3" s="20">
        <v>0.03</v>
      </c>
    </row>
    <row r="4" spans="1:2" x14ac:dyDescent="0.2">
      <c r="A4" t="s">
        <v>61</v>
      </c>
      <c r="B4" s="22">
        <v>25</v>
      </c>
    </row>
    <row r="5" spans="1:2" x14ac:dyDescent="0.2">
      <c r="A5" s="23" t="s">
        <v>62</v>
      </c>
      <c r="B5" s="21">
        <f>PMT(B3,B4,1)*-1</f>
        <v>5.7427871039127797E-2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15000 kWh</vt:lpstr>
      <vt:lpstr>30000 kWh</vt:lpstr>
      <vt:lpstr>60000 kWh</vt:lpstr>
      <vt:lpstr>Annuitätenrechner</vt:lpstr>
      <vt:lpstr>Tabelle3</vt:lpstr>
      <vt:lpstr>'15000 kWh'!Druckbereich</vt:lpstr>
      <vt:lpstr>'30000 kWh'!Druckbereich</vt:lpstr>
      <vt:lpstr>'60000 kWh'!Druckbereich</vt:lpstr>
    </vt:vector>
  </TitlesOfParts>
  <Company>Lignaplan Waldstatt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 Denise;Irene Fässler</dc:creator>
  <cp:lastModifiedBy>Sin</cp:lastModifiedBy>
  <cp:lastPrinted>2018-01-04T13:59:31Z</cp:lastPrinted>
  <dcterms:created xsi:type="dcterms:W3CDTF">2003-02-26T15:07:04Z</dcterms:created>
  <dcterms:modified xsi:type="dcterms:W3CDTF">2018-11-29T07:42:12Z</dcterms:modified>
</cp:coreProperties>
</file>