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divjah\Config\Desktop\WiCO-Desktop\Citrix\Dateien Desktop\"/>
    </mc:Choice>
  </mc:AlternateContent>
  <bookViews>
    <workbookView xWindow="480" yWindow="132" windowWidth="7980" windowHeight="3420"/>
  </bookViews>
  <sheets>
    <sheet name="15000 kWh" sheetId="5" r:id="rId1"/>
    <sheet name="30000 kWh" sheetId="1" r:id="rId2"/>
    <sheet name="60000 kWh" sheetId="4" r:id="rId3"/>
    <sheet name="Annuitätenrechner" sheetId="2" r:id="rId4"/>
    <sheet name="Tabelle3" sheetId="3" r:id="rId5"/>
  </sheets>
  <definedNames>
    <definedName name="_xlnm.Print_Area" localSheetId="0">'15000 kWh'!$A$1:$L$158</definedName>
    <definedName name="_xlnm.Print_Area" localSheetId="1">'30000 kWh'!$A$1:$L$160</definedName>
    <definedName name="_xlnm.Print_Area" localSheetId="2">'60000 kWh'!$A$1:$K$158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4" l="1"/>
  <c r="E69" i="4" s="1"/>
  <c r="B5" i="1"/>
  <c r="E71" i="1" s="1"/>
  <c r="B5" i="5"/>
  <c r="E70" i="5" s="1"/>
  <c r="E46" i="1" l="1"/>
  <c r="E46" i="5"/>
  <c r="E45" i="4"/>
  <c r="H4" i="4"/>
  <c r="I4" i="1"/>
  <c r="G16" i="1" s="1"/>
  <c r="H4" i="5"/>
  <c r="G16" i="5" s="1"/>
  <c r="F23" i="4" l="1"/>
  <c r="F24" i="1"/>
  <c r="F24" i="5"/>
  <c r="G44" i="4" l="1"/>
  <c r="B4" i="4"/>
  <c r="G69" i="4" s="1"/>
  <c r="G45" i="1"/>
  <c r="G45" i="5"/>
  <c r="B4" i="5"/>
  <c r="G70" i="5" s="1"/>
  <c r="B7" i="1"/>
  <c r="F71" i="1" s="1"/>
  <c r="B4" i="1"/>
  <c r="G71" i="1" s="1"/>
  <c r="F48" i="1"/>
  <c r="F47" i="4"/>
  <c r="B7" i="4"/>
  <c r="F69" i="4" s="1"/>
  <c r="F48" i="5"/>
  <c r="B7" i="5"/>
  <c r="F70" i="5" s="1"/>
  <c r="I71" i="1" l="1"/>
  <c r="I70" i="5"/>
  <c r="J71" i="1" l="1"/>
  <c r="I69" i="4"/>
  <c r="J70" i="5" l="1"/>
  <c r="D61" i="4" l="1"/>
  <c r="E61" i="4"/>
  <c r="D63" i="1"/>
  <c r="E63" i="1"/>
  <c r="D62" i="5"/>
  <c r="E62" i="5"/>
  <c r="J60" i="4" l="1"/>
  <c r="K62" i="1"/>
  <c r="B5" i="2"/>
  <c r="G15" i="4"/>
  <c r="G23" i="4" s="1"/>
  <c r="G27" i="4" s="1"/>
  <c r="G24" i="1"/>
  <c r="G28" i="1" s="1"/>
  <c r="I5" i="1"/>
  <c r="G24" i="5"/>
  <c r="I24" i="5"/>
  <c r="I41" i="5"/>
  <c r="I60" i="5" s="1"/>
  <c r="B10" i="5"/>
  <c r="I51" i="5" s="1"/>
  <c r="I53" i="5" s="1"/>
  <c r="I61" i="5" s="1"/>
  <c r="E24" i="5"/>
  <c r="E41" i="5"/>
  <c r="E60" i="5" s="1"/>
  <c r="H24" i="5"/>
  <c r="H41" i="5"/>
  <c r="H60" i="5" s="1"/>
  <c r="G41" i="5"/>
  <c r="G60" i="5" s="1"/>
  <c r="G53" i="5"/>
  <c r="G61" i="5" s="1"/>
  <c r="B9" i="1"/>
  <c r="I50" i="1" s="1"/>
  <c r="I54" i="1" s="1"/>
  <c r="I62" i="1" s="1"/>
  <c r="I41" i="1"/>
  <c r="I61" i="1" s="1"/>
  <c r="I24" i="1"/>
  <c r="I28" i="1" s="1"/>
  <c r="I32" i="1" s="1"/>
  <c r="K61" i="5"/>
  <c r="F53" i="5"/>
  <c r="F61" i="5" s="1"/>
  <c r="K41" i="5"/>
  <c r="K60" i="5" s="1"/>
  <c r="J41" i="5"/>
  <c r="J60" i="5" s="1"/>
  <c r="D41" i="5"/>
  <c r="D60" i="5" s="1"/>
  <c r="F41" i="5"/>
  <c r="F60" i="5" s="1"/>
  <c r="K24" i="5"/>
  <c r="J24" i="5"/>
  <c r="D24" i="5"/>
  <c r="F28" i="5"/>
  <c r="F32" i="5" s="1"/>
  <c r="B9" i="5"/>
  <c r="J50" i="5" s="1"/>
  <c r="J53" i="5" s="1"/>
  <c r="J61" i="5" s="1"/>
  <c r="B8" i="5"/>
  <c r="B6" i="5"/>
  <c r="H5" i="5"/>
  <c r="H5" i="4"/>
  <c r="F52" i="4"/>
  <c r="G52" i="4"/>
  <c r="J40" i="4"/>
  <c r="J59" i="4" s="1"/>
  <c r="I40" i="4"/>
  <c r="D40" i="4"/>
  <c r="D59" i="4" s="1"/>
  <c r="F40" i="4"/>
  <c r="H40" i="4"/>
  <c r="E40" i="4"/>
  <c r="G40" i="4"/>
  <c r="G59" i="4" s="1"/>
  <c r="J23" i="4"/>
  <c r="J27" i="4" s="1"/>
  <c r="J31" i="4" s="1"/>
  <c r="J58" i="4" s="1"/>
  <c r="I23" i="4"/>
  <c r="I27" i="4" s="1"/>
  <c r="D23" i="4"/>
  <c r="D27" i="4" s="1"/>
  <c r="D31" i="4" s="1"/>
  <c r="B8" i="4"/>
  <c r="B9" i="4"/>
  <c r="I49" i="4" s="1"/>
  <c r="I52" i="4" s="1"/>
  <c r="F27" i="4"/>
  <c r="H23" i="4"/>
  <c r="H27" i="4" s="1"/>
  <c r="E23" i="4"/>
  <c r="E27" i="4" s="1"/>
  <c r="E31" i="4" s="1"/>
  <c r="B6" i="4"/>
  <c r="H69" i="4" s="1"/>
  <c r="F54" i="1"/>
  <c r="F62" i="1" s="1"/>
  <c r="B10" i="1"/>
  <c r="J51" i="1" s="1"/>
  <c r="J54" i="1" s="1"/>
  <c r="J62" i="1" s="1"/>
  <c r="J24" i="1"/>
  <c r="J28" i="1" s="1"/>
  <c r="J41" i="1"/>
  <c r="J61" i="1" s="1"/>
  <c r="B6" i="1"/>
  <c r="H71" i="1" s="1"/>
  <c r="H47" i="1"/>
  <c r="H54" i="1" s="1"/>
  <c r="H62" i="1" s="1"/>
  <c r="K24" i="1"/>
  <c r="K28" i="1" s="1"/>
  <c r="K41" i="1"/>
  <c r="K61" i="1" s="1"/>
  <c r="E54" i="1"/>
  <c r="E62" i="1" s="1"/>
  <c r="F28" i="1"/>
  <c r="F32" i="1" s="1"/>
  <c r="F41" i="1"/>
  <c r="F61" i="1" s="1"/>
  <c r="B8" i="1"/>
  <c r="D24" i="1"/>
  <c r="D28" i="1" s="1"/>
  <c r="D32" i="1" s="1"/>
  <c r="D41" i="1"/>
  <c r="D61" i="1" s="1"/>
  <c r="H24" i="1"/>
  <c r="H28" i="1" s="1"/>
  <c r="H32" i="1" s="1"/>
  <c r="H41" i="1"/>
  <c r="H61" i="1" s="1"/>
  <c r="E24" i="1"/>
  <c r="E28" i="1" s="1"/>
  <c r="E32" i="1" s="1"/>
  <c r="E41" i="1"/>
  <c r="E61" i="1" s="1"/>
  <c r="G54" i="1"/>
  <c r="G62" i="1" s="1"/>
  <c r="G41" i="1"/>
  <c r="G61" i="1" s="1"/>
  <c r="J32" i="1" l="1"/>
  <c r="J60" i="1" s="1"/>
  <c r="J65" i="1" s="1"/>
  <c r="J67" i="1" s="1"/>
  <c r="I31" i="4"/>
  <c r="I58" i="4"/>
  <c r="G32" i="1"/>
  <c r="G60" i="1"/>
  <c r="G65" i="1" s="1"/>
  <c r="G67" i="1" s="1"/>
  <c r="G31" i="4"/>
  <c r="G58" i="4" s="1"/>
  <c r="H31" i="4"/>
  <c r="H58" i="4" s="1"/>
  <c r="F60" i="1"/>
  <c r="F65" i="1" s="1"/>
  <c r="F67" i="1" s="1"/>
  <c r="F58" i="4"/>
  <c r="F31" i="4"/>
  <c r="F59" i="5"/>
  <c r="F64" i="5" s="1"/>
  <c r="F66" i="5" s="1"/>
  <c r="D58" i="4"/>
  <c r="K28" i="5"/>
  <c r="K32" i="5" s="1"/>
  <c r="D28" i="5"/>
  <c r="D32" i="5" s="1"/>
  <c r="I28" i="5"/>
  <c r="I32" i="5" s="1"/>
  <c r="H60" i="1"/>
  <c r="H65" i="1" s="1"/>
  <c r="H67" i="1" s="1"/>
  <c r="K32" i="1"/>
  <c r="K60" i="1" s="1"/>
  <c r="K65" i="1" s="1"/>
  <c r="K67" i="1" s="1"/>
  <c r="E58" i="4"/>
  <c r="J28" i="5"/>
  <c r="I60" i="1"/>
  <c r="I65" i="1" s="1"/>
  <c r="I67" i="1" s="1"/>
  <c r="E28" i="5"/>
  <c r="E32" i="5" s="1"/>
  <c r="G28" i="5"/>
  <c r="E60" i="1"/>
  <c r="E65" i="1" s="1"/>
  <c r="E67" i="1" s="1"/>
  <c r="D60" i="1"/>
  <c r="H28" i="5"/>
  <c r="H32" i="5" s="1"/>
  <c r="H46" i="4"/>
  <c r="H52" i="4" s="1"/>
  <c r="H60" i="4" s="1"/>
  <c r="E52" i="4"/>
  <c r="D49" i="1"/>
  <c r="D54" i="1" s="1"/>
  <c r="D62" i="1" s="1"/>
  <c r="D71" i="1"/>
  <c r="D48" i="4"/>
  <c r="D52" i="4" s="1"/>
  <c r="D60" i="4" s="1"/>
  <c r="D69" i="4"/>
  <c r="E53" i="5"/>
  <c r="E61" i="5" s="1"/>
  <c r="H47" i="5"/>
  <c r="H53" i="5" s="1"/>
  <c r="H61" i="5" s="1"/>
  <c r="H70" i="5"/>
  <c r="D49" i="5"/>
  <c r="D53" i="5" s="1"/>
  <c r="D61" i="5" s="1"/>
  <c r="D70" i="5"/>
  <c r="F60" i="4"/>
  <c r="E60" i="4"/>
  <c r="H59" i="4"/>
  <c r="I60" i="4"/>
  <c r="F59" i="4"/>
  <c r="J63" i="4"/>
  <c r="J65" i="4" s="1"/>
  <c r="I59" i="4"/>
  <c r="E59" i="4"/>
  <c r="G60" i="4"/>
  <c r="J32" i="5" l="1"/>
  <c r="J59" i="5" s="1"/>
  <c r="J64" i="5" s="1"/>
  <c r="J66" i="5" s="1"/>
  <c r="G32" i="5"/>
  <c r="D65" i="1"/>
  <c r="D67" i="1" s="1"/>
  <c r="E59" i="5"/>
  <c r="E64" i="5" s="1"/>
  <c r="E66" i="5" s="1"/>
  <c r="D59" i="5"/>
  <c r="D64" i="5" s="1"/>
  <c r="D66" i="5" s="1"/>
  <c r="H59" i="5"/>
  <c r="H64" i="5" s="1"/>
  <c r="H66" i="5" s="1"/>
  <c r="I59" i="5"/>
  <c r="I64" i="5" s="1"/>
  <c r="I66" i="5" s="1"/>
  <c r="K59" i="5"/>
  <c r="K64" i="5" s="1"/>
  <c r="K66" i="5" s="1"/>
  <c r="D63" i="4"/>
  <c r="D65" i="4" s="1"/>
  <c r="E63" i="4"/>
  <c r="E65" i="4" s="1"/>
  <c r="H72" i="1"/>
  <c r="H73" i="1" s="1"/>
  <c r="F72" i="1"/>
  <c r="F73" i="1" s="1"/>
  <c r="I72" i="1"/>
  <c r="I73" i="1" s="1"/>
  <c r="G72" i="1"/>
  <c r="G73" i="1" s="1"/>
  <c r="J72" i="1"/>
  <c r="J73" i="1" s="1"/>
  <c r="E72" i="1"/>
  <c r="E73" i="1" s="1"/>
  <c r="F70" i="4"/>
  <c r="F71" i="4" s="1"/>
  <c r="H70" i="4"/>
  <c r="H71" i="4" s="1"/>
  <c r="E70" i="4"/>
  <c r="E71" i="4" s="1"/>
  <c r="I70" i="4"/>
  <c r="I71" i="4" s="1"/>
  <c r="G70" i="4"/>
  <c r="G71" i="4" s="1"/>
  <c r="H71" i="5"/>
  <c r="H72" i="5" s="1"/>
  <c r="G71" i="5"/>
  <c r="G72" i="5" s="1"/>
  <c r="J71" i="5"/>
  <c r="J72" i="5" s="1"/>
  <c r="F71" i="5"/>
  <c r="F72" i="5" s="1"/>
  <c r="I71" i="5"/>
  <c r="I72" i="5" s="1"/>
  <c r="E71" i="5"/>
  <c r="E72" i="5" s="1"/>
  <c r="G63" i="4"/>
  <c r="G65" i="4" s="1"/>
  <c r="H63" i="4"/>
  <c r="H65" i="4" s="1"/>
  <c r="F63" i="4"/>
  <c r="F65" i="4" s="1"/>
  <c r="I63" i="4"/>
  <c r="I65" i="4" s="1"/>
  <c r="G59" i="5" l="1"/>
  <c r="G64" i="5" s="1"/>
  <c r="G66" i="5" s="1"/>
</calcChain>
</file>

<file path=xl/sharedStrings.xml><?xml version="1.0" encoding="utf-8"?>
<sst xmlns="http://schemas.openxmlformats.org/spreadsheetml/2006/main" count="356" uniqueCount="106">
  <si>
    <t>Jahresverbrauch</t>
  </si>
  <si>
    <t>kWh</t>
  </si>
  <si>
    <t>l Öl</t>
  </si>
  <si>
    <t>t Pellets</t>
  </si>
  <si>
    <t>Investitionen</t>
  </si>
  <si>
    <t>Pellets</t>
  </si>
  <si>
    <t>Heizöl</t>
  </si>
  <si>
    <t>Montage, Inbetriebnahme</t>
  </si>
  <si>
    <t>Bauseitige Leistungen (Maurer, Stromer)</t>
  </si>
  <si>
    <t>Betrieb und Unterhalt</t>
  </si>
  <si>
    <t>Kaminfeger</t>
  </si>
  <si>
    <t>Abgaskontrolle</t>
  </si>
  <si>
    <t>Total Betrieb</t>
  </si>
  <si>
    <t>Total Investitionen</t>
  </si>
  <si>
    <t>Öko-Heizöl</t>
  </si>
  <si>
    <t>Strom für Antriebe und Pumpen</t>
  </si>
  <si>
    <t>CHF / Tonne</t>
  </si>
  <si>
    <t>CHF / 100 Liter</t>
  </si>
  <si>
    <t>Total Energie</t>
  </si>
  <si>
    <t>Betriebskosten</t>
  </si>
  <si>
    <t>Energiekosten</t>
  </si>
  <si>
    <t>m²</t>
  </si>
  <si>
    <t>Wärmekosten [Rp./kWh]</t>
  </si>
  <si>
    <t>Energiebezugsfläche EBF</t>
  </si>
  <si>
    <t>Rp./kWh</t>
  </si>
  <si>
    <t>Gas</t>
  </si>
  <si>
    <t>kWh/(m²xJahr)</t>
  </si>
  <si>
    <t>Strom L/W-WP</t>
  </si>
  <si>
    <t>Strom Erdsonde-WP</t>
  </si>
  <si>
    <t>kWh Strom Erdsonde-Wärmepumpe</t>
  </si>
  <si>
    <t>kWh Strom Luft-Wasser-Wärmepumpe</t>
  </si>
  <si>
    <t>WP Sonde</t>
  </si>
  <si>
    <t>WP Luft</t>
  </si>
  <si>
    <t>inkl. Warmwasser</t>
  </si>
  <si>
    <t>Fernwärme</t>
  </si>
  <si>
    <t>kWh Fernwärme</t>
  </si>
  <si>
    <t>Fern-wärme</t>
  </si>
  <si>
    <t>Solares Warm-wasser</t>
  </si>
  <si>
    <t>Stückholz</t>
  </si>
  <si>
    <t>CHF/Ster</t>
  </si>
  <si>
    <t>CHF/100 Liter</t>
  </si>
  <si>
    <t>Ster Hartholz</t>
  </si>
  <si>
    <t>Ster Stückholz</t>
  </si>
  <si>
    <t>Fr./Ster (50cm)</t>
  </si>
  <si>
    <t>Sondenlänge</t>
  </si>
  <si>
    <t>Energiekennzahl Wärme</t>
  </si>
  <si>
    <t>Expansion, Heizverteilung, Heizkörper</t>
  </si>
  <si>
    <t>Demontage Heizung / Tank</t>
  </si>
  <si>
    <t>Austragung</t>
  </si>
  <si>
    <t xml:space="preserve">Austragung </t>
  </si>
  <si>
    <t>Boiler / Wärmespeicher</t>
  </si>
  <si>
    <t>m</t>
  </si>
  <si>
    <t>Sonde / Kanäle</t>
  </si>
  <si>
    <t>Silo / Anschluss</t>
  </si>
  <si>
    <t xml:space="preserve">Pellets </t>
  </si>
  <si>
    <t>Kessel / Wärmetauscher / WP</t>
  </si>
  <si>
    <t>Förderung Gemeinde / EVU</t>
  </si>
  <si>
    <t>Förderung Kanton</t>
  </si>
  <si>
    <t>Annuitätenrechner</t>
  </si>
  <si>
    <t>Zinssatz</t>
  </si>
  <si>
    <t>Dauer (Jahre)</t>
  </si>
  <si>
    <t>Annuität in %</t>
  </si>
  <si>
    <t>Annuität (%)</t>
  </si>
  <si>
    <t>Kapitalkosten pro Jahr</t>
  </si>
  <si>
    <t>Dauer der Abschreibung (Jahre)</t>
  </si>
  <si>
    <t>Total Energiekosten pro Jahr</t>
  </si>
  <si>
    <t>Jahreskosten (Fr)</t>
  </si>
  <si>
    <t>Förderung Gemeinden / EVU</t>
  </si>
  <si>
    <t>Solares Warm-Wasser</t>
  </si>
  <si>
    <t>Energiekosten (inkl. CO2)</t>
  </si>
  <si>
    <t>Tankreinigung / Gaszähler</t>
  </si>
  <si>
    <t>Service / Reparaturen</t>
  </si>
  <si>
    <t>Tankreinigung  Gaszähler</t>
  </si>
  <si>
    <t>Umweltbelastung</t>
  </si>
  <si>
    <t xml:space="preserve">Fossiles CO2 </t>
  </si>
  <si>
    <t>Tonnen / Jahr</t>
  </si>
  <si>
    <t>Kapitalkosten, Annuität gerechnet mit  3% Zins</t>
  </si>
  <si>
    <t xml:space="preserve">Abgasanlage (Kamin) </t>
  </si>
  <si>
    <t>Solares Warmwasser mit 6m² Kollektorfläche</t>
  </si>
  <si>
    <t>Solares Warmwasser mit 12m² Kollektorfläche</t>
  </si>
  <si>
    <t>Einsparung CO2</t>
  </si>
  <si>
    <t>in %</t>
  </si>
  <si>
    <t>Tonnen / Jahr gegenüber Heizöl</t>
  </si>
  <si>
    <t>tonnen / Jahr gegenüber Heizöl</t>
  </si>
  <si>
    <t>Jahreskosten und Kosten / kWh</t>
  </si>
  <si>
    <t>Nettoinvestitionen *</t>
  </si>
  <si>
    <t xml:space="preserve">* Angaben +/- 20% </t>
  </si>
  <si>
    <t>* Angaben +/- 20%</t>
  </si>
  <si>
    <t>Nettoinvestitionen*</t>
  </si>
  <si>
    <t>CO2 Abgabe; heute 96 Fr./t</t>
  </si>
  <si>
    <t>plus; möglich bis 2012</t>
  </si>
  <si>
    <t>plus; möglich bis  2020</t>
  </si>
  <si>
    <t xml:space="preserve">plus; möglich bis 2020 </t>
  </si>
  <si>
    <t>kWh Gas</t>
  </si>
  <si>
    <t>Steuereinsparung einmalig</t>
  </si>
  <si>
    <t xml:space="preserve">Annahme 16% </t>
  </si>
  <si>
    <t>WP Sonde*</t>
  </si>
  <si>
    <t>WP Luft*</t>
  </si>
  <si>
    <t xml:space="preserve">* CH Verbrauchermix (ohne Erneuerbare) </t>
  </si>
  <si>
    <t>Annahme 16%</t>
  </si>
  <si>
    <t>LRV (einmalig 500, alle 4 Jahre 300)</t>
  </si>
  <si>
    <t>LRV-Messungen (einmalig 500, alle 4 Jahre 300)</t>
  </si>
  <si>
    <t xml:space="preserve">Heizsystem-Kostenvergleich </t>
  </si>
  <si>
    <r>
      <rPr>
        <b/>
        <sz val="12"/>
        <rFont val="Arial"/>
        <family val="2"/>
      </rPr>
      <t>Objektadresse:</t>
    </r>
    <r>
      <rPr>
        <sz val="12"/>
        <rFont val="Arial"/>
        <family val="2"/>
      </rPr>
      <t xml:space="preserve"> </t>
    </r>
  </si>
  <si>
    <t xml:space="preserve">Objektadresse: </t>
  </si>
  <si>
    <r>
      <t>CO</t>
    </r>
    <r>
      <rPr>
        <sz val="9"/>
        <rFont val="Arial"/>
        <family val="2"/>
      </rPr>
      <t>2</t>
    </r>
    <r>
      <rPr>
        <sz val="11"/>
        <rFont val="Arial"/>
        <family val="2"/>
      </rPr>
      <t xml:space="preserve"> Abgabe; heute 96 Fr./t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</si>
</sst>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;[Red]&quot;Fr.&quot;\ \-#,##0.00"/>
    <numFmt numFmtId="165" formatCode="0.0"/>
    <numFmt numFmtId="166" formatCode="#,##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166" fontId="5" fillId="0" borderId="0" xfId="0" applyNumberFormat="1" applyFont="1"/>
    <xf numFmtId="1" fontId="5" fillId="0" borderId="0" xfId="0" applyNumberFormat="1" applyFont="1"/>
    <xf numFmtId="0" fontId="8" fillId="0" borderId="0" xfId="0" applyFont="1"/>
    <xf numFmtId="0" fontId="6" fillId="0" borderId="0" xfId="0" applyFont="1"/>
    <xf numFmtId="3" fontId="5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165" fontId="5" fillId="0" borderId="0" xfId="0" applyNumberFormat="1" applyFont="1" applyAlignment="1">
      <alignment horizontal="right"/>
    </xf>
    <xf numFmtId="3" fontId="5" fillId="3" borderId="0" xfId="0" applyNumberFormat="1" applyFont="1" applyFill="1"/>
    <xf numFmtId="0" fontId="5" fillId="3" borderId="0" xfId="0" applyFont="1" applyFill="1"/>
    <xf numFmtId="164" fontId="0" fillId="0" borderId="0" xfId="0" applyNumberFormat="1"/>
    <xf numFmtId="10" fontId="16" fillId="4" borderId="0" xfId="1" applyNumberFormat="1" applyFont="1" applyFill="1"/>
    <xf numFmtId="10" fontId="2" fillId="4" borderId="0" xfId="1" applyNumberFormat="1" applyFont="1" applyFill="1"/>
    <xf numFmtId="0" fontId="0" fillId="4" borderId="0" xfId="0" applyFill="1"/>
    <xf numFmtId="0" fontId="9" fillId="0" borderId="0" xfId="0" applyFont="1"/>
    <xf numFmtId="0" fontId="5" fillId="5" borderId="1" xfId="0" applyFont="1" applyFill="1" applyBorder="1"/>
    <xf numFmtId="1" fontId="5" fillId="5" borderId="1" xfId="0" applyNumberFormat="1" applyFont="1" applyFill="1" applyBorder="1"/>
    <xf numFmtId="0" fontId="0" fillId="5" borderId="1" xfId="0" applyFill="1" applyBorder="1"/>
    <xf numFmtId="0" fontId="11" fillId="5" borderId="1" xfId="0" applyFont="1" applyFill="1" applyBorder="1"/>
    <xf numFmtId="1" fontId="15" fillId="5" borderId="1" xfId="0" applyNumberFormat="1" applyFont="1" applyFill="1" applyBorder="1"/>
    <xf numFmtId="0" fontId="6" fillId="5" borderId="1" xfId="0" applyFont="1" applyFill="1" applyBorder="1"/>
    <xf numFmtId="0" fontId="5" fillId="6" borderId="1" xfId="0" applyFont="1" applyFill="1" applyBorder="1"/>
    <xf numFmtId="0" fontId="11" fillId="6" borderId="1" xfId="0" applyFont="1" applyFill="1" applyBorder="1"/>
    <xf numFmtId="10" fontId="5" fillId="6" borderId="1" xfId="0" applyNumberFormat="1" applyFont="1" applyFill="1" applyBorder="1"/>
    <xf numFmtId="10" fontId="11" fillId="6" borderId="1" xfId="0" applyNumberFormat="1" applyFont="1" applyFill="1" applyBorder="1"/>
    <xf numFmtId="1" fontId="5" fillId="6" borderId="1" xfId="0" applyNumberFormat="1" applyFont="1" applyFill="1" applyBorder="1"/>
    <xf numFmtId="0" fontId="0" fillId="6" borderId="1" xfId="0" applyFill="1" applyBorder="1"/>
    <xf numFmtId="0" fontId="6" fillId="6" borderId="1" xfId="0" applyFont="1" applyFill="1" applyBorder="1"/>
    <xf numFmtId="1" fontId="6" fillId="6" borderId="1" xfId="0" applyNumberFormat="1" applyFont="1" applyFill="1" applyBorder="1"/>
    <xf numFmtId="0" fontId="15" fillId="7" borderId="0" xfId="0" applyFont="1" applyFill="1" applyBorder="1" applyAlignment="1">
      <alignment horizontal="left"/>
    </xf>
    <xf numFmtId="1" fontId="15" fillId="7" borderId="0" xfId="0" applyNumberFormat="1" applyFont="1" applyFill="1" applyBorder="1"/>
    <xf numFmtId="0" fontId="6" fillId="7" borderId="0" xfId="0" applyFont="1" applyFill="1" applyBorder="1"/>
    <xf numFmtId="0" fontId="0" fillId="7" borderId="0" xfId="0" applyFill="1"/>
    <xf numFmtId="10" fontId="16" fillId="7" borderId="0" xfId="1" applyNumberFormat="1" applyFont="1" applyFill="1"/>
    <xf numFmtId="0" fontId="5" fillId="8" borderId="1" xfId="0" applyFont="1" applyFill="1" applyBorder="1"/>
    <xf numFmtId="0" fontId="11" fillId="8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1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3" fillId="8" borderId="1" xfId="0" applyFont="1" applyFill="1" applyBorder="1"/>
    <xf numFmtId="1" fontId="6" fillId="5" borderId="1" xfId="0" applyNumberFormat="1" applyFont="1" applyFill="1" applyBorder="1"/>
    <xf numFmtId="10" fontId="9" fillId="0" borderId="0" xfId="1" applyNumberFormat="1" applyFont="1"/>
    <xf numFmtId="0" fontId="6" fillId="8" borderId="1" xfId="0" applyFont="1" applyFill="1" applyBorder="1"/>
    <xf numFmtId="0" fontId="6" fillId="9" borderId="1" xfId="0" applyFont="1" applyFill="1" applyBorder="1"/>
    <xf numFmtId="0" fontId="5" fillId="0" borderId="0" xfId="0" applyFont="1" applyAlignment="1"/>
    <xf numFmtId="0" fontId="6" fillId="9" borderId="1" xfId="0" applyFont="1" applyFill="1" applyBorder="1" applyAlignment="1"/>
    <xf numFmtId="0" fontId="2" fillId="0" borderId="0" xfId="0" applyFont="1" applyAlignment="1"/>
    <xf numFmtId="0" fontId="6" fillId="0" borderId="0" xfId="0" applyFont="1" applyAlignment="1"/>
    <xf numFmtId="0" fontId="6" fillId="8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2" fillId="7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/>
    <xf numFmtId="0" fontId="6" fillId="10" borderId="1" xfId="0" applyFont="1" applyFill="1" applyBorder="1"/>
    <xf numFmtId="165" fontId="6" fillId="10" borderId="1" xfId="0" applyNumberFormat="1" applyFont="1" applyFill="1" applyBorder="1"/>
    <xf numFmtId="1" fontId="0" fillId="5" borderId="1" xfId="0" applyNumberFormat="1" applyFill="1" applyBorder="1"/>
    <xf numFmtId="1" fontId="6" fillId="5" borderId="1" xfId="0" applyNumberFormat="1" applyFont="1" applyFill="1" applyBorder="1" applyAlignment="1">
      <alignment horizontal="right" wrapText="1"/>
    </xf>
    <xf numFmtId="0" fontId="0" fillId="10" borderId="1" xfId="0" applyFill="1" applyBorder="1"/>
    <xf numFmtId="165" fontId="0" fillId="10" borderId="1" xfId="0" applyNumberFormat="1" applyFill="1" applyBorder="1"/>
    <xf numFmtId="9" fontId="0" fillId="10" borderId="1" xfId="0" applyNumberFormat="1" applyFill="1" applyBorder="1"/>
    <xf numFmtId="0" fontId="9" fillId="10" borderId="1" xfId="0" applyFont="1" applyFill="1" applyBorder="1"/>
    <xf numFmtId="0" fontId="5" fillId="4" borderId="1" xfId="0" applyFont="1" applyFill="1" applyBorder="1"/>
    <xf numFmtId="0" fontId="8" fillId="4" borderId="1" xfId="0" applyFont="1" applyFill="1" applyBorder="1"/>
    <xf numFmtId="0" fontId="11" fillId="4" borderId="1" xfId="0" applyFont="1" applyFill="1" applyBorder="1"/>
    <xf numFmtId="0" fontId="3" fillId="0" borderId="0" xfId="0" applyFont="1"/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Jahreskosten</a:t>
            </a:r>
          </a:p>
        </c:rich>
      </c:tx>
      <c:layout>
        <c:manualLayout>
          <c:xMode val="edge"/>
          <c:yMode val="edge"/>
          <c:x val="0.42131815008723894"/>
          <c:y val="2.4048096192384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802953562387"/>
          <c:y val="0.12466518276597569"/>
          <c:w val="0.58115735813742919"/>
          <c:h val="0.66345710855573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'15000 kWh'!$A$57:$A$59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kWh'!$D$59:$J$59</c:f>
              <c:numCache>
                <c:formatCode>0</c:formatCode>
                <c:ptCount val="7"/>
                <c:pt idx="0">
                  <c:v>1266.3000000000002</c:v>
                </c:pt>
                <c:pt idx="1">
                  <c:v>1266.3000000000002</c:v>
                </c:pt>
                <c:pt idx="2">
                  <c:v>1575.8400000000001</c:v>
                </c:pt>
                <c:pt idx="3">
                  <c:v>1752.4080000000001</c:v>
                </c:pt>
                <c:pt idx="4">
                  <c:v>1632.1200000000001</c:v>
                </c:pt>
                <c:pt idx="5">
                  <c:v>1407</c:v>
                </c:pt>
                <c:pt idx="6">
                  <c:v>664.02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4-4D38-A303-B0D6A88C9BAD}"/>
            </c:ext>
          </c:extLst>
        </c:ser>
        <c:ser>
          <c:idx val="1"/>
          <c:order val="1"/>
          <c:tx>
            <c:strRef>
              <c:f>'15000 kWh'!$A$60:$C$60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kWh'!$D$60:$J$60</c:f>
              <c:numCache>
                <c:formatCode>General</c:formatCode>
                <c:ptCount val="7"/>
                <c:pt idx="0">
                  <c:v>630</c:v>
                </c:pt>
                <c:pt idx="1">
                  <c:v>530</c:v>
                </c:pt>
                <c:pt idx="2">
                  <c:v>150</c:v>
                </c:pt>
                <c:pt idx="3">
                  <c:v>100</c:v>
                </c:pt>
                <c:pt idx="4">
                  <c:v>630</c:v>
                </c:pt>
                <c:pt idx="5">
                  <c:v>530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4-4D38-A303-B0D6A88C9BAD}"/>
            </c:ext>
          </c:extLst>
        </c:ser>
        <c:ser>
          <c:idx val="2"/>
          <c:order val="2"/>
          <c:tx>
            <c:strRef>
              <c:f>'15000 kWh'!$A$61:$C$61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kWh'!$D$61:$J$61</c:f>
              <c:numCache>
                <c:formatCode>0</c:formatCode>
                <c:ptCount val="7"/>
                <c:pt idx="0">
                  <c:v>1455</c:v>
                </c:pt>
                <c:pt idx="1">
                  <c:v>1550</c:v>
                </c:pt>
                <c:pt idx="2">
                  <c:v>1000.7692307692306</c:v>
                </c:pt>
                <c:pt idx="3">
                  <c:v>728.33333333333348</c:v>
                </c:pt>
                <c:pt idx="4">
                  <c:v>1140</c:v>
                </c:pt>
                <c:pt idx="5">
                  <c:v>1286.9832402234636</c:v>
                </c:pt>
                <c:pt idx="6">
                  <c:v>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4-4D38-A303-B0D6A88C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98483584"/>
        <c:axId val="98485376"/>
      </c:barChart>
      <c:catAx>
        <c:axId val="984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485376"/>
        <c:crosses val="autoZero"/>
        <c:auto val="1"/>
        <c:lblAlgn val="ctr"/>
        <c:lblOffset val="100"/>
        <c:noMultiLvlLbl val="0"/>
      </c:catAx>
      <c:valAx>
        <c:axId val="9848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Fr. por Jahr</a:t>
                </a:r>
              </a:p>
            </c:rich>
          </c:tx>
          <c:layout>
            <c:manualLayout>
              <c:xMode val="edge"/>
              <c:yMode val="edge"/>
              <c:x val="2.9411775880246575E-2"/>
              <c:y val="0.363333228764731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4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25009622341099"/>
          <c:y val="0.34423976562047981"/>
          <c:w val="0.24974990377658901"/>
          <c:h val="0.2806179287709276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511538816106"/>
          <c:y val="0.13062499064109373"/>
          <c:w val="0.84051372400394697"/>
          <c:h val="0.7853277690555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kWh'!$A$66:$C$66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kWh'!$D$66:$J$66</c:f>
              <c:numCache>
                <c:formatCode>General</c:formatCode>
                <c:ptCount val="7"/>
                <c:pt idx="0">
                  <c:v>22.3</c:v>
                </c:pt>
                <c:pt idx="1">
                  <c:v>22.3</c:v>
                </c:pt>
                <c:pt idx="2">
                  <c:v>18.2</c:v>
                </c:pt>
                <c:pt idx="3">
                  <c:v>17.2</c:v>
                </c:pt>
                <c:pt idx="4">
                  <c:v>22.7</c:v>
                </c:pt>
                <c:pt idx="5">
                  <c:v>21.5</c:v>
                </c:pt>
                <c:pt idx="6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3-4FD6-A40C-3DFFA61A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47072"/>
        <c:axId val="97348608"/>
      </c:barChart>
      <c:catAx>
        <c:axId val="973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348608"/>
        <c:crosses val="autoZero"/>
        <c:auto val="1"/>
        <c:lblAlgn val="ctr"/>
        <c:lblOffset val="100"/>
        <c:noMultiLvlLbl val="0"/>
      </c:catAx>
      <c:valAx>
        <c:axId val="97348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745012965816247E-2"/>
              <c:y val="0.39245172478440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7347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403211155913204"/>
          <c:y val="3.77000123997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9428529833515"/>
          <c:y val="0.14219393519457221"/>
          <c:w val="0.83945785050746757"/>
          <c:h val="0.7572143362331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kWh'!$A$69:$B$69</c:f>
              <c:strCache>
                <c:ptCount val="2"/>
                <c:pt idx="0">
                  <c:v>Umweltbelastung</c:v>
                </c:pt>
              </c:strCache>
            </c:strRef>
          </c:tx>
          <c:invertIfNegative val="0"/>
          <c:cat>
            <c:strRef>
              <c:f>'15000 kWh'!$D$69:$J$69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kWh'!$D$70:$J$70</c:f>
              <c:numCache>
                <c:formatCode>0.0</c:formatCode>
                <c:ptCount val="7"/>
                <c:pt idx="0">
                  <c:v>4.4654999999999996</c:v>
                </c:pt>
                <c:pt idx="1">
                  <c:v>3.45</c:v>
                </c:pt>
                <c:pt idx="2">
                  <c:v>0.58846153846153837</c:v>
                </c:pt>
                <c:pt idx="3">
                  <c:v>0.42499999999999999</c:v>
                </c:pt>
                <c:pt idx="4">
                  <c:v>0.1032</c:v>
                </c:pt>
                <c:pt idx="5">
                  <c:v>9.2178770949720656E-2</c:v>
                </c:pt>
                <c:pt idx="6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426-91FE-B0F48012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7369088"/>
        <c:axId val="97383168"/>
      </c:barChart>
      <c:catAx>
        <c:axId val="973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97383168"/>
        <c:crosses val="autoZero"/>
        <c:auto val="1"/>
        <c:lblAlgn val="ctr"/>
        <c:lblOffset val="100"/>
        <c:noMultiLvlLbl val="0"/>
      </c:catAx>
      <c:valAx>
        <c:axId val="9738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838291355357842E-2"/>
              <c:y val="0.2497872618969692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73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 b="1"/>
              <a:t>Jahreskosten </a:t>
            </a:r>
          </a:p>
        </c:rich>
      </c:tx>
      <c:layout>
        <c:manualLayout>
          <c:xMode val="edge"/>
          <c:yMode val="edge"/>
          <c:x val="0.42082491765133578"/>
          <c:y val="2.57056504663045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19017883794186"/>
          <c:y val="0.14802241829206159"/>
          <c:w val="0.61659746144480831"/>
          <c:h val="0.6646516237624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'30000 kWh'!$A$58:$A$60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kWh'!$D$60:$J$60</c:f>
              <c:numCache>
                <c:formatCode>0</c:formatCode>
                <c:ptCount val="7"/>
                <c:pt idx="0">
                  <c:v>1407</c:v>
                </c:pt>
                <c:pt idx="1">
                  <c:v>1547.7</c:v>
                </c:pt>
                <c:pt idx="2">
                  <c:v>1913.5200000000002</c:v>
                </c:pt>
                <c:pt idx="3">
                  <c:v>2666.9160000000002</c:v>
                </c:pt>
                <c:pt idx="4">
                  <c:v>1829.1000000000001</c:v>
                </c:pt>
                <c:pt idx="5">
                  <c:v>1603.98</c:v>
                </c:pt>
                <c:pt idx="6">
                  <c:v>664.02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A-4B70-8DE3-1A0DEEEF9C44}"/>
            </c:ext>
          </c:extLst>
        </c:ser>
        <c:ser>
          <c:idx val="1"/>
          <c:order val="1"/>
          <c:tx>
            <c:strRef>
              <c:f>'30000 kWh'!$A$61:$C$61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kWh'!$D$61:$J$61</c:f>
              <c:numCache>
                <c:formatCode>General</c:formatCode>
                <c:ptCount val="7"/>
                <c:pt idx="0">
                  <c:v>650</c:v>
                </c:pt>
                <c:pt idx="1">
                  <c:v>600</c:v>
                </c:pt>
                <c:pt idx="2">
                  <c:v>150</c:v>
                </c:pt>
                <c:pt idx="3">
                  <c:v>100</c:v>
                </c:pt>
                <c:pt idx="4">
                  <c:v>650</c:v>
                </c:pt>
                <c:pt idx="5">
                  <c:v>450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A-4B70-8DE3-1A0DEEEF9C44}"/>
            </c:ext>
          </c:extLst>
        </c:ser>
        <c:ser>
          <c:idx val="2"/>
          <c:order val="2"/>
          <c:tx>
            <c:strRef>
              <c:f>'30000 kWh'!$A$62:$C$62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kWh'!$D$62:$J$62</c:f>
              <c:numCache>
                <c:formatCode>0</c:formatCode>
                <c:ptCount val="7"/>
                <c:pt idx="0">
                  <c:v>2890</c:v>
                </c:pt>
                <c:pt idx="1">
                  <c:v>2880</c:v>
                </c:pt>
                <c:pt idx="2">
                  <c:v>1991.5384615384612</c:v>
                </c:pt>
                <c:pt idx="3">
                  <c:v>1446.666666666667</c:v>
                </c:pt>
                <c:pt idx="4">
                  <c:v>2230</c:v>
                </c:pt>
                <c:pt idx="5">
                  <c:v>2290</c:v>
                </c:pt>
                <c:pt idx="6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A-4B70-8DE3-1A0DEEEF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02349440"/>
        <c:axId val="102355328"/>
      </c:barChart>
      <c:catAx>
        <c:axId val="1023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2355328"/>
        <c:crosses val="autoZero"/>
        <c:auto val="1"/>
        <c:lblAlgn val="ctr"/>
        <c:lblOffset val="100"/>
        <c:noMultiLvlLbl val="0"/>
      </c:catAx>
      <c:valAx>
        <c:axId val="10235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1"/>
                  <a:t>Fr. pro Jahr</a:t>
                </a:r>
              </a:p>
            </c:rich>
          </c:tx>
          <c:layout>
            <c:manualLayout>
              <c:xMode val="edge"/>
              <c:yMode val="edge"/>
              <c:x val="2.8230025577944462E-2"/>
              <c:y val="0.366664993437974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234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23703155488387"/>
          <c:y val="0.36564041073986131"/>
          <c:w val="0.22815273437905603"/>
          <c:h val="0.2699639250617694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151503939189E-2"/>
          <c:y val="0.11103114132786916"/>
          <c:w val="0.88662416039220704"/>
          <c:h val="0.8130612356841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kWh'!$A$67:$C$67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kWh'!$D$67:$J$67</c:f>
              <c:numCache>
                <c:formatCode>General</c:formatCode>
                <c:ptCount val="7"/>
                <c:pt idx="0">
                  <c:v>16.5</c:v>
                </c:pt>
                <c:pt idx="1">
                  <c:v>16.8</c:v>
                </c:pt>
                <c:pt idx="2">
                  <c:v>13.5</c:v>
                </c:pt>
                <c:pt idx="3">
                  <c:v>14</c:v>
                </c:pt>
                <c:pt idx="4">
                  <c:v>15.7</c:v>
                </c:pt>
                <c:pt idx="5">
                  <c:v>14.5</c:v>
                </c:pt>
                <c:pt idx="6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40F-8C91-ECF0A9AB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1504"/>
        <c:axId val="99703040"/>
      </c:barChart>
      <c:catAx>
        <c:axId val="997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703040"/>
        <c:crosses val="autoZero"/>
        <c:auto val="1"/>
        <c:lblAlgn val="ctr"/>
        <c:lblOffset val="100"/>
        <c:noMultiLvlLbl val="0"/>
      </c:catAx>
      <c:valAx>
        <c:axId val="99703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194330313995553E-2"/>
              <c:y val="0.38710980361438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70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010500014514"/>
          <c:y val="0.14259548682222214"/>
          <c:w val="0.87031215862260836"/>
          <c:h val="0.7725076509802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kWh'!$A$71:$B$71</c:f>
              <c:strCache>
                <c:ptCount val="2"/>
                <c:pt idx="0">
                  <c:v>Fossiles CO2 </c:v>
                </c:pt>
                <c:pt idx="1">
                  <c:v>Tonnen / Jahr</c:v>
                </c:pt>
              </c:strCache>
            </c:strRef>
          </c:tx>
          <c:invertIfNegative val="0"/>
          <c:cat>
            <c:strRef>
              <c:f>'30000 kWh'!$D$70:$J$70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kWh'!$D$71:$J$71</c:f>
              <c:numCache>
                <c:formatCode>0.0</c:formatCode>
                <c:ptCount val="7"/>
                <c:pt idx="0">
                  <c:v>8.9309999999999992</c:v>
                </c:pt>
                <c:pt idx="1">
                  <c:v>6.8369999999999997</c:v>
                </c:pt>
                <c:pt idx="2">
                  <c:v>1.1769230769230767</c:v>
                </c:pt>
                <c:pt idx="3">
                  <c:v>0.85</c:v>
                </c:pt>
                <c:pt idx="4">
                  <c:v>0.2064</c:v>
                </c:pt>
                <c:pt idx="5">
                  <c:v>0.18435754189944131</c:v>
                </c:pt>
                <c:pt idx="6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758-A1F6-8895A670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2096"/>
        <c:axId val="99733888"/>
      </c:barChart>
      <c:catAx>
        <c:axId val="997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733888"/>
        <c:crosses val="autoZero"/>
        <c:auto val="1"/>
        <c:lblAlgn val="ctr"/>
        <c:lblOffset val="100"/>
        <c:noMultiLvlLbl val="0"/>
      </c:catAx>
      <c:valAx>
        <c:axId val="9973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Tonnen CO</a:t>
                </a:r>
                <a:r>
                  <a:rPr lang="en-US" sz="1800" baseline="-25000"/>
                  <a:t>2</a:t>
                </a:r>
                <a:r>
                  <a:rPr lang="en-US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273071094176767E-2"/>
              <c:y val="0.257070268940395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97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/>
              <a:t>Jahreskosten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68626150490086"/>
          <c:y val="0.13081409344522213"/>
          <c:w val="0.59756464432102963"/>
          <c:h val="0.63987402473055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'60000 kWh'!$A$56:$A$58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kWh'!$D$58:$I$58</c:f>
              <c:numCache>
                <c:formatCode>0</c:formatCode>
                <c:ptCount val="6"/>
                <c:pt idx="0">
                  <c:v>1744.68</c:v>
                </c:pt>
                <c:pt idx="1">
                  <c:v>1800.96</c:v>
                </c:pt>
                <c:pt idx="2">
                  <c:v>3292.38</c:v>
                </c:pt>
                <c:pt idx="3">
                  <c:v>4014.1079999999997</c:v>
                </c:pt>
                <c:pt idx="4">
                  <c:v>2729.5800000000004</c:v>
                </c:pt>
                <c:pt idx="5">
                  <c:v>1135.26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C-460E-A88F-C945A6CA05B1}"/>
            </c:ext>
          </c:extLst>
        </c:ser>
        <c:ser>
          <c:idx val="1"/>
          <c:order val="1"/>
          <c:tx>
            <c:strRef>
              <c:f>'60000 kWh'!$A$59:$C$59</c:f>
              <c:strCache>
                <c:ptCount val="3"/>
                <c:pt idx="0">
                  <c:v>Betriebskosten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kWh'!$D$59:$I$59</c:f>
              <c:numCache>
                <c:formatCode>General</c:formatCode>
                <c:ptCount val="6"/>
                <c:pt idx="0">
                  <c:v>900</c:v>
                </c:pt>
                <c:pt idx="1">
                  <c:v>750</c:v>
                </c:pt>
                <c:pt idx="2">
                  <c:v>250</c:v>
                </c:pt>
                <c:pt idx="3">
                  <c:v>150</c:v>
                </c:pt>
                <c:pt idx="4">
                  <c:v>750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C-460E-A88F-C945A6CA05B1}"/>
            </c:ext>
          </c:extLst>
        </c:ser>
        <c:ser>
          <c:idx val="2"/>
          <c:order val="2"/>
          <c:tx>
            <c:strRef>
              <c:f>'60000 kWh'!$A$60:$C$60</c:f>
              <c:strCache>
                <c:ptCount val="3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kWh'!$D$60:$I$60</c:f>
              <c:numCache>
                <c:formatCode>0</c:formatCode>
                <c:ptCount val="6"/>
                <c:pt idx="0">
                  <c:v>5450</c:v>
                </c:pt>
                <c:pt idx="1">
                  <c:v>5040</c:v>
                </c:pt>
                <c:pt idx="2">
                  <c:v>3501.5384615384614</c:v>
                </c:pt>
                <c:pt idx="3">
                  <c:v>2540.0000000000005</c:v>
                </c:pt>
                <c:pt idx="4">
                  <c:v>4360</c:v>
                </c:pt>
                <c:pt idx="5">
                  <c:v>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C-460E-A88F-C945A6CA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99813632"/>
        <c:axId val="99819520"/>
      </c:barChart>
      <c:catAx>
        <c:axId val="998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19520"/>
        <c:crosses val="autoZero"/>
        <c:auto val="1"/>
        <c:lblAlgn val="ctr"/>
        <c:lblOffset val="100"/>
        <c:noMultiLvlLbl val="0"/>
      </c:catAx>
      <c:valAx>
        <c:axId val="9981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Fr. pro Jahr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1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2262575319859"/>
          <c:y val="0.36387183347866037"/>
          <c:w val="0.25372869329007758"/>
          <c:h val="0.26897763813445758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5729493450215"/>
          <c:y val="0.16655988807672795"/>
          <c:w val="0.86481926542564314"/>
          <c:h val="0.75754823484301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kWh'!$A$65:$C$65</c:f>
              <c:strCache>
                <c:ptCount val="3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kWh'!$D$65:$I$65</c:f>
              <c:numCache>
                <c:formatCode>General</c:formatCode>
                <c:ptCount val="6"/>
                <c:pt idx="0">
                  <c:v>13.5</c:v>
                </c:pt>
                <c:pt idx="1">
                  <c:v>12.7</c:v>
                </c:pt>
                <c:pt idx="2">
                  <c:v>11.7</c:v>
                </c:pt>
                <c:pt idx="3">
                  <c:v>11.2</c:v>
                </c:pt>
                <c:pt idx="4">
                  <c:v>13.1</c:v>
                </c:pt>
                <c:pt idx="5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D-4E29-88B3-3434698EF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56768"/>
        <c:axId val="99858304"/>
      </c:barChart>
      <c:catAx>
        <c:axId val="998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3.2122901064997975E-2"/>
              <c:y val="0.413321208362025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9856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149408676856567"/>
          <c:y val="3.2423666519270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61318511656633"/>
          <c:y val="0.15264270753444312"/>
          <c:w val="0.84985740311872782"/>
          <c:h val="0.76613064644110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kWh'!$A$69:$B$69</c:f>
              <c:strCache>
                <c:ptCount val="2"/>
                <c:pt idx="0">
                  <c:v>Fossiles CO2 </c:v>
                </c:pt>
                <c:pt idx="1">
                  <c:v>Tonnen / Jahr</c:v>
                </c:pt>
              </c:strCache>
            </c:strRef>
          </c:tx>
          <c:invertIfNegative val="0"/>
          <c:cat>
            <c:strRef>
              <c:f>'60000 kWh'!$D$68:$I$68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Luft*</c:v>
                </c:pt>
                <c:pt idx="3">
                  <c:v>WP Sonde*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kWh'!$D$69:$I$69</c:f>
              <c:numCache>
                <c:formatCode>0.0</c:formatCode>
                <c:ptCount val="6"/>
                <c:pt idx="0">
                  <c:v>17.861999999999998</c:v>
                </c:pt>
                <c:pt idx="1">
                  <c:v>13.8</c:v>
                </c:pt>
                <c:pt idx="2">
                  <c:v>2.3538461538461535</c:v>
                </c:pt>
                <c:pt idx="3">
                  <c:v>1.7</c:v>
                </c:pt>
                <c:pt idx="4">
                  <c:v>0.4128</c:v>
                </c:pt>
                <c:pt idx="5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9-48EE-B078-19F1DC49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4688"/>
        <c:axId val="99876224"/>
      </c:barChart>
      <c:catAx>
        <c:axId val="9987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8596078431372549E-2"/>
              <c:y val="0.2374265106109639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98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73</xdr:row>
      <xdr:rowOff>123825</xdr:rowOff>
    </xdr:from>
    <xdr:to>
      <xdr:col>10</xdr:col>
      <xdr:colOff>390525</xdr:colOff>
      <xdr:row>100</xdr:row>
      <xdr:rowOff>19050</xdr:rowOff>
    </xdr:to>
    <xdr:graphicFrame macro="">
      <xdr:nvGraphicFramePr>
        <xdr:cNvPr id="116879" name="Diagramm 4">
          <a:extLst>
            <a:ext uri="{FF2B5EF4-FFF2-40B4-BE49-F238E27FC236}">
              <a16:creationId xmlns:a16="http://schemas.microsoft.com/office/drawing/2014/main" id="{00000000-0008-0000-0000-00008F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220756</xdr:colOff>
      <xdr:row>104</xdr:row>
      <xdr:rowOff>8964</xdr:rowOff>
    </xdr:from>
    <xdr:to>
      <xdr:col>10</xdr:col>
      <xdr:colOff>411256</xdr:colOff>
      <xdr:row>128</xdr:row>
      <xdr:rowOff>31749</xdr:rowOff>
    </xdr:to>
    <xdr:graphicFrame macro="">
      <xdr:nvGraphicFramePr>
        <xdr:cNvPr id="116880" name="Diagramm 2">
          <a:extLst>
            <a:ext uri="{FF2B5EF4-FFF2-40B4-BE49-F238E27FC236}">
              <a16:creationId xmlns:a16="http://schemas.microsoft.com/office/drawing/2014/main" id="{00000000-0008-0000-0000-000090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132</xdr:row>
      <xdr:rowOff>136525</xdr:rowOff>
    </xdr:from>
    <xdr:to>
      <xdr:col>10</xdr:col>
      <xdr:colOff>317500</xdr:colOff>
      <xdr:row>153</xdr:row>
      <xdr:rowOff>116417</xdr:rowOff>
    </xdr:to>
    <xdr:graphicFrame macro="">
      <xdr:nvGraphicFramePr>
        <xdr:cNvPr id="3" name="Diagramm 2" title="Umweltbelast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341964</xdr:colOff>
      <xdr:row>75</xdr:row>
      <xdr:rowOff>111126</xdr:rowOff>
    </xdr:from>
    <xdr:to>
      <xdr:col>10</xdr:col>
      <xdr:colOff>423334</xdr:colOff>
      <xdr:row>103</xdr:row>
      <xdr:rowOff>14008</xdr:rowOff>
    </xdr:to>
    <xdr:graphicFrame macro="">
      <xdr:nvGraphicFramePr>
        <xdr:cNvPr id="1244" name="Diagramm 4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384547</xdr:colOff>
      <xdr:row>107</xdr:row>
      <xdr:rowOff>118903</xdr:rowOff>
    </xdr:from>
    <xdr:to>
      <xdr:col>10</xdr:col>
      <xdr:colOff>476250</xdr:colOff>
      <xdr:row>134</xdr:row>
      <xdr:rowOff>74082</xdr:rowOff>
    </xdr:to>
    <xdr:graphicFrame macro="">
      <xdr:nvGraphicFramePr>
        <xdr:cNvPr id="1245" name="Diagramm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380999</xdr:colOff>
      <xdr:row>137</xdr:row>
      <xdr:rowOff>73023</xdr:rowOff>
    </xdr:from>
    <xdr:to>
      <xdr:col>10</xdr:col>
      <xdr:colOff>455083</xdr:colOff>
      <xdr:row>158</xdr:row>
      <xdr:rowOff>42332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73</xdr:row>
      <xdr:rowOff>135031</xdr:rowOff>
    </xdr:from>
    <xdr:to>
      <xdr:col>10</xdr:col>
      <xdr:colOff>67235</xdr:colOff>
      <xdr:row>100</xdr:row>
      <xdr:rowOff>137583</xdr:rowOff>
    </xdr:to>
    <xdr:graphicFrame macro="">
      <xdr:nvGraphicFramePr>
        <xdr:cNvPr id="46257" name="Diagramm 4">
          <a:extLst>
            <a:ext uri="{FF2B5EF4-FFF2-40B4-BE49-F238E27FC236}">
              <a16:creationId xmlns:a16="http://schemas.microsoft.com/office/drawing/2014/main" id="{00000000-0008-0000-0200-0000B1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355226</xdr:colOff>
      <xdr:row>105</xdr:row>
      <xdr:rowOff>154640</xdr:rowOff>
    </xdr:from>
    <xdr:to>
      <xdr:col>10</xdr:col>
      <xdr:colOff>89646</xdr:colOff>
      <xdr:row>132</xdr:row>
      <xdr:rowOff>52915</xdr:rowOff>
    </xdr:to>
    <xdr:graphicFrame macro="">
      <xdr:nvGraphicFramePr>
        <xdr:cNvPr id="46258" name="Diagramm 2">
          <a:extLst>
            <a:ext uri="{FF2B5EF4-FFF2-40B4-BE49-F238E27FC236}">
              <a16:creationId xmlns:a16="http://schemas.microsoft.com/office/drawing/2014/main" id="{00000000-0008-0000-0200-0000B2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359833</xdr:colOff>
      <xdr:row>134</xdr:row>
      <xdr:rowOff>125942</xdr:rowOff>
    </xdr:from>
    <xdr:to>
      <xdr:col>10</xdr:col>
      <xdr:colOff>84666</xdr:colOff>
      <xdr:row>156</xdr:row>
      <xdr:rowOff>84667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zoomScale="90" zoomScaleNormal="90" workbookViewId="0">
      <selection activeCell="M54" sqref="M54"/>
    </sheetView>
  </sheetViews>
  <sheetFormatPr baseColWidth="10" defaultRowHeight="13.8" x14ac:dyDescent="0.25"/>
  <cols>
    <col min="1" max="1" width="26.44140625" customWidth="1"/>
    <col min="3" max="3" width="21.88671875" customWidth="1"/>
    <col min="4" max="4" width="9.109375" customWidth="1"/>
    <col min="5" max="5" width="9.44140625" customWidth="1"/>
    <col min="6" max="6" width="9.109375" customWidth="1"/>
    <col min="7" max="7" width="10.33203125" customWidth="1"/>
    <col min="8" max="8" width="8.88671875" customWidth="1"/>
    <col min="9" max="9" width="11.88671875" style="12" customWidth="1"/>
    <col min="10" max="10" width="10.6640625" style="12" bestFit="1" customWidth="1"/>
    <col min="11" max="11" width="9.109375" customWidth="1"/>
    <col min="12" max="12" width="4.33203125" customWidth="1"/>
  </cols>
  <sheetData>
    <row r="1" spans="1:11" ht="17.399999999999999" x14ac:dyDescent="0.3">
      <c r="A1" s="2" t="s">
        <v>102</v>
      </c>
      <c r="D1" s="86" t="s">
        <v>103</v>
      </c>
      <c r="E1" s="15"/>
    </row>
    <row r="2" spans="1:11" ht="5.25" customHeight="1" x14ac:dyDescent="0.25"/>
    <row r="3" spans="1:11" x14ac:dyDescent="0.25">
      <c r="A3" s="3" t="s">
        <v>0</v>
      </c>
      <c r="B3" s="4">
        <v>15000</v>
      </c>
      <c r="C3" s="3" t="s">
        <v>1</v>
      </c>
      <c r="D3" s="3"/>
      <c r="E3" s="3"/>
      <c r="F3" s="3"/>
      <c r="G3" s="14" t="s">
        <v>23</v>
      </c>
      <c r="H3" s="18">
        <v>192</v>
      </c>
      <c r="I3" s="3" t="s">
        <v>21</v>
      </c>
      <c r="J3" s="3"/>
    </row>
    <row r="4" spans="1:11" x14ac:dyDescent="0.25">
      <c r="A4" s="3" t="s">
        <v>33</v>
      </c>
      <c r="B4" s="10">
        <f>B3/3.6</f>
        <v>4166.666666666667</v>
      </c>
      <c r="C4" s="3" t="s">
        <v>29</v>
      </c>
      <c r="D4" s="3"/>
      <c r="E4" s="3"/>
      <c r="F4" s="3"/>
      <c r="G4" s="14" t="s">
        <v>44</v>
      </c>
      <c r="H4" s="7">
        <f>(3/4*B3/70)</f>
        <v>160.71428571428572</v>
      </c>
      <c r="I4" s="3" t="s">
        <v>51</v>
      </c>
      <c r="K4" s="3"/>
    </row>
    <row r="5" spans="1:11" x14ac:dyDescent="0.25">
      <c r="A5" s="3"/>
      <c r="B5" s="5">
        <f>B3*1</f>
        <v>15000</v>
      </c>
      <c r="C5" s="3" t="s">
        <v>93</v>
      </c>
      <c r="D5" s="3"/>
      <c r="E5" s="3"/>
      <c r="F5" s="3"/>
      <c r="G5" s="14" t="s">
        <v>45</v>
      </c>
      <c r="H5" s="7">
        <f>B3/H3</f>
        <v>78.125</v>
      </c>
      <c r="I5" s="3" t="s">
        <v>26</v>
      </c>
      <c r="J5" s="11"/>
    </row>
    <row r="6" spans="1:11" x14ac:dyDescent="0.25">
      <c r="A6" s="3"/>
      <c r="B6" s="6">
        <f>B3/5000</f>
        <v>3</v>
      </c>
      <c r="C6" s="3" t="s">
        <v>3</v>
      </c>
      <c r="D6" s="3"/>
      <c r="E6" s="3"/>
      <c r="F6" s="3"/>
      <c r="G6" s="3"/>
      <c r="H6" s="3"/>
      <c r="K6" s="3"/>
    </row>
    <row r="7" spans="1:11" x14ac:dyDescent="0.25">
      <c r="A7" s="3"/>
      <c r="B7" s="5">
        <f>B3/2.6</f>
        <v>5769.2307692307686</v>
      </c>
      <c r="C7" s="3" t="s">
        <v>30</v>
      </c>
      <c r="D7" s="3"/>
      <c r="E7" s="3"/>
      <c r="F7" s="3"/>
      <c r="G7" s="3"/>
      <c r="H7" s="3"/>
      <c r="K7" s="3"/>
    </row>
    <row r="8" spans="1:11" x14ac:dyDescent="0.25">
      <c r="A8" s="3"/>
      <c r="B8" s="5">
        <f>B3/10</f>
        <v>1500</v>
      </c>
      <c r="C8" s="3" t="s">
        <v>2</v>
      </c>
      <c r="D8" s="3"/>
      <c r="E8" s="3"/>
      <c r="F8" s="3"/>
      <c r="G8" s="3"/>
      <c r="H8" s="3"/>
      <c r="K8" s="3"/>
    </row>
    <row r="9" spans="1:11" x14ac:dyDescent="0.25">
      <c r="A9" s="3"/>
      <c r="B9" s="5">
        <f>B3*0.9</f>
        <v>13500</v>
      </c>
      <c r="C9" s="3" t="s">
        <v>35</v>
      </c>
      <c r="D9" s="3"/>
      <c r="E9" s="3"/>
      <c r="F9" s="3"/>
      <c r="G9" s="3" t="s">
        <v>78</v>
      </c>
      <c r="H9" s="3"/>
      <c r="K9" s="3"/>
    </row>
    <row r="10" spans="1:11" x14ac:dyDescent="0.25">
      <c r="A10" s="3"/>
      <c r="B10" s="5">
        <f>B3/1790</f>
        <v>8.3798882681564244</v>
      </c>
      <c r="C10" s="3" t="s">
        <v>42</v>
      </c>
      <c r="D10" s="3"/>
      <c r="E10" s="3"/>
      <c r="F10" s="3"/>
      <c r="G10" s="3"/>
      <c r="H10" s="3"/>
      <c r="K10" s="3"/>
    </row>
    <row r="11" spans="1:11" x14ac:dyDescent="0.25">
      <c r="A11" s="3"/>
      <c r="B11" s="5"/>
      <c r="C11" s="3"/>
      <c r="D11" s="3"/>
      <c r="E11" s="3"/>
      <c r="F11" s="3"/>
      <c r="G11" s="3"/>
      <c r="H11" s="3"/>
      <c r="K11" s="3"/>
    </row>
    <row r="12" spans="1:11" ht="36" customHeight="1" x14ac:dyDescent="0.25">
      <c r="A12" s="93" t="s">
        <v>4</v>
      </c>
      <c r="B12" s="94"/>
      <c r="C12" s="95"/>
      <c r="D12" s="50" t="s">
        <v>6</v>
      </c>
      <c r="E12" s="50" t="s">
        <v>25</v>
      </c>
      <c r="F12" s="50" t="s">
        <v>32</v>
      </c>
      <c r="G12" s="50" t="s">
        <v>31</v>
      </c>
      <c r="H12" s="50" t="s">
        <v>5</v>
      </c>
      <c r="I12" s="50" t="s">
        <v>38</v>
      </c>
      <c r="J12" s="50" t="s">
        <v>34</v>
      </c>
      <c r="K12" s="50" t="s">
        <v>37</v>
      </c>
    </row>
    <row r="13" spans="1:11" ht="15" x14ac:dyDescent="0.25">
      <c r="A13" s="43" t="s">
        <v>53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ht="15" x14ac:dyDescent="0.25">
      <c r="A14" s="43" t="s">
        <v>47</v>
      </c>
      <c r="B14" s="43"/>
      <c r="C14" s="43"/>
      <c r="D14" s="43">
        <v>2500</v>
      </c>
      <c r="E14" s="43">
        <v>2500</v>
      </c>
      <c r="F14" s="43">
        <v>2500</v>
      </c>
      <c r="G14" s="43">
        <v>2500</v>
      </c>
      <c r="H14" s="43">
        <v>2500</v>
      </c>
      <c r="I14" s="43">
        <v>2500</v>
      </c>
      <c r="J14" s="43">
        <v>2500</v>
      </c>
      <c r="K14" s="52"/>
    </row>
    <row r="15" spans="1:11" x14ac:dyDescent="0.25">
      <c r="A15" s="43" t="s">
        <v>55</v>
      </c>
      <c r="B15" s="43"/>
      <c r="C15" s="43"/>
      <c r="D15" s="43">
        <v>8000</v>
      </c>
      <c r="E15" s="43">
        <v>5000</v>
      </c>
      <c r="F15" s="43">
        <v>13000</v>
      </c>
      <c r="G15" s="43">
        <v>15000</v>
      </c>
      <c r="H15" s="43">
        <v>15000</v>
      </c>
      <c r="I15" s="43">
        <v>15000</v>
      </c>
      <c r="J15" s="43">
        <v>8000</v>
      </c>
      <c r="K15" s="43">
        <v>16000</v>
      </c>
    </row>
    <row r="16" spans="1:11" x14ac:dyDescent="0.25">
      <c r="A16" s="43" t="s">
        <v>52</v>
      </c>
      <c r="B16" s="43"/>
      <c r="C16" s="43"/>
      <c r="D16" s="43">
        <v>0</v>
      </c>
      <c r="E16" s="43">
        <v>0</v>
      </c>
      <c r="F16" s="43">
        <v>4000</v>
      </c>
      <c r="G16" s="43">
        <f>ROUND(H4/10,0)*850</f>
        <v>13600</v>
      </c>
      <c r="H16" s="43">
        <v>0</v>
      </c>
      <c r="I16" s="43">
        <v>0</v>
      </c>
      <c r="J16" s="43">
        <v>0</v>
      </c>
      <c r="K16" s="43"/>
    </row>
    <row r="17" spans="1:11" x14ac:dyDescent="0.25">
      <c r="A17" s="43" t="s">
        <v>48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>
        <v>0</v>
      </c>
      <c r="J17" s="43">
        <v>0</v>
      </c>
      <c r="K17" s="43"/>
    </row>
    <row r="18" spans="1:11" x14ac:dyDescent="0.25">
      <c r="A18" s="43" t="s">
        <v>50</v>
      </c>
      <c r="B18" s="43"/>
      <c r="C18" s="43"/>
      <c r="D18" s="43">
        <v>4000</v>
      </c>
      <c r="E18" s="43">
        <v>3000</v>
      </c>
      <c r="F18" s="43">
        <v>7000</v>
      </c>
      <c r="G18" s="43">
        <v>7000</v>
      </c>
      <c r="H18" s="43">
        <v>4000</v>
      </c>
      <c r="I18" s="43">
        <v>7000</v>
      </c>
      <c r="J18" s="43">
        <v>0</v>
      </c>
      <c r="K18" s="43"/>
    </row>
    <row r="19" spans="1:11" x14ac:dyDescent="0.25">
      <c r="A19" s="43" t="s">
        <v>46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5">
      <c r="A20" s="43" t="s">
        <v>77</v>
      </c>
      <c r="B20" s="43"/>
      <c r="C20" s="43"/>
      <c r="D20" s="43">
        <v>3000</v>
      </c>
      <c r="E20" s="43">
        <v>3000</v>
      </c>
      <c r="F20" s="43">
        <v>0</v>
      </c>
      <c r="G20" s="43">
        <v>0</v>
      </c>
      <c r="H20" s="43">
        <v>1000</v>
      </c>
      <c r="I20" s="43">
        <v>1000</v>
      </c>
      <c r="J20" s="43">
        <v>0</v>
      </c>
      <c r="K20" s="43"/>
    </row>
    <row r="21" spans="1:11" x14ac:dyDescent="0.25">
      <c r="A21" s="43" t="s">
        <v>7</v>
      </c>
      <c r="B21" s="43"/>
      <c r="C21" s="43"/>
      <c r="D21" s="43">
        <v>2500</v>
      </c>
      <c r="E21" s="43">
        <v>2500</v>
      </c>
      <c r="F21" s="43">
        <v>3000</v>
      </c>
      <c r="G21" s="43">
        <v>3000</v>
      </c>
      <c r="H21" s="43">
        <v>4000</v>
      </c>
      <c r="I21" s="43">
        <v>4000</v>
      </c>
      <c r="J21" s="43">
        <v>2500</v>
      </c>
      <c r="K21" s="43"/>
    </row>
    <row r="22" spans="1:11" x14ac:dyDescent="0.25">
      <c r="A22" s="43" t="s">
        <v>8</v>
      </c>
      <c r="B22" s="43"/>
      <c r="C22" s="43"/>
      <c r="D22" s="43">
        <v>2000</v>
      </c>
      <c r="E22" s="43">
        <v>1000</v>
      </c>
      <c r="F22" s="43">
        <v>2000</v>
      </c>
      <c r="G22" s="43">
        <v>3000</v>
      </c>
      <c r="H22" s="43">
        <v>2000</v>
      </c>
      <c r="I22" s="43">
        <v>2000</v>
      </c>
      <c r="J22" s="43">
        <v>1000</v>
      </c>
      <c r="K22" s="43"/>
    </row>
    <row r="23" spans="1:11" ht="6.6" customHeight="1" x14ac:dyDescent="0.25">
      <c r="A23" s="43"/>
      <c r="B23" s="43"/>
      <c r="C23" s="43"/>
      <c r="D23" s="43"/>
      <c r="E23" s="43"/>
      <c r="F23" s="43"/>
      <c r="G23" s="43"/>
      <c r="H23" s="43"/>
      <c r="I23" s="51"/>
      <c r="J23" s="44"/>
      <c r="K23" s="43"/>
    </row>
    <row r="24" spans="1:11" x14ac:dyDescent="0.25">
      <c r="A24" s="43" t="s">
        <v>13</v>
      </c>
      <c r="B24" s="43"/>
      <c r="C24" s="43"/>
      <c r="D24" s="43">
        <f t="shared" ref="D24:K24" si="0">SUM(D13:D22)</f>
        <v>22500</v>
      </c>
      <c r="E24" s="43">
        <f t="shared" si="0"/>
        <v>22500</v>
      </c>
      <c r="F24" s="43">
        <f>SUM(F13:F22)</f>
        <v>32000</v>
      </c>
      <c r="G24" s="43">
        <f t="shared" si="0"/>
        <v>44600</v>
      </c>
      <c r="H24" s="43">
        <f t="shared" si="0"/>
        <v>36000</v>
      </c>
      <c r="I24" s="43">
        <f t="shared" si="0"/>
        <v>32000</v>
      </c>
      <c r="J24" s="43">
        <f t="shared" si="0"/>
        <v>22500</v>
      </c>
      <c r="K24" s="43">
        <f t="shared" si="0"/>
        <v>16000</v>
      </c>
    </row>
    <row r="25" spans="1:11" x14ac:dyDescent="0.25">
      <c r="A25" s="43" t="s">
        <v>57</v>
      </c>
      <c r="B25" s="43"/>
      <c r="C25" s="43"/>
      <c r="D25" s="43">
        <v>0</v>
      </c>
      <c r="E25" s="43">
        <v>0</v>
      </c>
      <c r="F25" s="43">
        <v>4000</v>
      </c>
      <c r="G25" s="43">
        <v>8000</v>
      </c>
      <c r="H25" s="43">
        <v>7000</v>
      </c>
      <c r="I25" s="43">
        <v>7000</v>
      </c>
      <c r="J25" s="43">
        <v>7000</v>
      </c>
      <c r="K25" s="43"/>
    </row>
    <row r="26" spans="1:11" x14ac:dyDescent="0.25">
      <c r="A26" s="43" t="s">
        <v>67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ht="6.7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s="1" customFormat="1" ht="15.75" customHeight="1" x14ac:dyDescent="0.25">
      <c r="A28" s="55" t="s">
        <v>85</v>
      </c>
      <c r="B28" s="55"/>
      <c r="C28" s="55"/>
      <c r="D28" s="55">
        <f t="shared" ref="D28:I28" si="1">D24-D25-D26</f>
        <v>22500</v>
      </c>
      <c r="E28" s="55">
        <f t="shared" si="1"/>
        <v>22500</v>
      </c>
      <c r="F28" s="55">
        <f t="shared" si="1"/>
        <v>28000</v>
      </c>
      <c r="G28" s="55">
        <f t="shared" si="1"/>
        <v>36600</v>
      </c>
      <c r="H28" s="55">
        <f t="shared" si="1"/>
        <v>29000</v>
      </c>
      <c r="I28" s="55">
        <f t="shared" si="1"/>
        <v>25000</v>
      </c>
      <c r="J28" s="55">
        <f t="shared" ref="J28" si="2">J24-J25-J26</f>
        <v>15500</v>
      </c>
      <c r="K28" s="55">
        <f>K24-K25-K26</f>
        <v>16000</v>
      </c>
    </row>
    <row r="29" spans="1:11" s="1" customFormat="1" ht="15.75" customHeight="1" x14ac:dyDescent="0.3">
      <c r="A29" s="3" t="s">
        <v>86</v>
      </c>
      <c r="B29" s="8"/>
      <c r="C29" s="8"/>
      <c r="D29" s="8"/>
      <c r="E29" s="8"/>
      <c r="F29" s="8"/>
      <c r="G29" s="8"/>
      <c r="H29" s="8"/>
      <c r="I29" s="8"/>
      <c r="J29" s="13"/>
      <c r="K29" s="8"/>
    </row>
    <row r="30" spans="1:11" s="1" customFormat="1" ht="14.25" customHeight="1" x14ac:dyDescent="0.3">
      <c r="A30" s="3"/>
      <c r="B30" s="8"/>
      <c r="C30" s="8"/>
      <c r="D30" s="8"/>
      <c r="E30" s="8"/>
      <c r="F30" s="8"/>
      <c r="G30" s="8"/>
      <c r="H30" s="8"/>
      <c r="I30" s="8"/>
      <c r="J30" s="13"/>
      <c r="K30" s="8"/>
    </row>
    <row r="31" spans="1:11" s="1" customFormat="1" ht="15.75" customHeight="1" x14ac:dyDescent="0.25">
      <c r="A31" s="111" t="s">
        <v>94</v>
      </c>
      <c r="B31" s="112"/>
      <c r="C31" s="113"/>
      <c r="D31" s="83"/>
      <c r="E31" s="83"/>
      <c r="F31" s="83"/>
      <c r="G31" s="83"/>
      <c r="H31" s="83"/>
      <c r="I31" s="83"/>
      <c r="J31" s="83"/>
      <c r="K31" s="83"/>
    </row>
    <row r="32" spans="1:11" s="1" customFormat="1" ht="14.25" customHeight="1" x14ac:dyDescent="0.3">
      <c r="A32" s="83" t="s">
        <v>95</v>
      </c>
      <c r="B32" s="84"/>
      <c r="C32" s="84"/>
      <c r="D32" s="83">
        <f t="shared" ref="D32:K32" si="3">D28*0.16</f>
        <v>3600</v>
      </c>
      <c r="E32" s="83">
        <f>E28*0.16</f>
        <v>3600</v>
      </c>
      <c r="F32" s="83">
        <f>F28*0.16</f>
        <v>4480</v>
      </c>
      <c r="G32" s="83">
        <f t="shared" si="3"/>
        <v>5856</v>
      </c>
      <c r="H32" s="83">
        <f t="shared" si="3"/>
        <v>4640</v>
      </c>
      <c r="I32" s="83">
        <f t="shared" si="3"/>
        <v>4000</v>
      </c>
      <c r="J32" s="83">
        <f t="shared" si="3"/>
        <v>2480</v>
      </c>
      <c r="K32" s="83">
        <f t="shared" si="3"/>
        <v>2560</v>
      </c>
    </row>
    <row r="33" spans="1:11" ht="14.4" x14ac:dyDescent="0.3">
      <c r="A33" s="8"/>
      <c r="B33" s="8"/>
      <c r="C33" s="8"/>
      <c r="D33" s="8"/>
      <c r="E33" s="8"/>
      <c r="F33" s="8"/>
      <c r="G33" s="8"/>
      <c r="H33" s="8"/>
      <c r="I33" s="8"/>
      <c r="J33" s="13"/>
      <c r="K33" s="8"/>
    </row>
    <row r="34" spans="1:11" ht="30.6" x14ac:dyDescent="0.25">
      <c r="A34" s="90" t="s">
        <v>9</v>
      </c>
      <c r="B34" s="91"/>
      <c r="C34" s="92"/>
      <c r="D34" s="48" t="s">
        <v>6</v>
      </c>
      <c r="E34" s="48" t="s">
        <v>25</v>
      </c>
      <c r="F34" s="48" t="s">
        <v>32</v>
      </c>
      <c r="G34" s="48" t="s">
        <v>31</v>
      </c>
      <c r="H34" s="48" t="s">
        <v>5</v>
      </c>
      <c r="I34" s="48" t="s">
        <v>38</v>
      </c>
      <c r="J34" s="48" t="s">
        <v>34</v>
      </c>
      <c r="K34" s="48" t="s">
        <v>37</v>
      </c>
    </row>
    <row r="35" spans="1:11" x14ac:dyDescent="0.25">
      <c r="A35" s="47" t="s">
        <v>10</v>
      </c>
      <c r="B35" s="47"/>
      <c r="C35" s="47"/>
      <c r="D35" s="47">
        <v>150</v>
      </c>
      <c r="E35" s="47">
        <v>100</v>
      </c>
      <c r="F35" s="47">
        <v>0</v>
      </c>
      <c r="G35" s="47">
        <v>0</v>
      </c>
      <c r="H35" s="47">
        <v>150</v>
      </c>
      <c r="I35" s="47">
        <v>150</v>
      </c>
      <c r="J35" s="49">
        <v>0</v>
      </c>
      <c r="K35" s="47">
        <v>0</v>
      </c>
    </row>
    <row r="36" spans="1:11" x14ac:dyDescent="0.25">
      <c r="A36" s="47" t="s">
        <v>101</v>
      </c>
      <c r="B36" s="47"/>
      <c r="C36" s="47"/>
      <c r="D36" s="47"/>
      <c r="E36" s="47"/>
      <c r="F36" s="47"/>
      <c r="G36" s="47"/>
      <c r="H36" s="47">
        <v>100</v>
      </c>
      <c r="I36" s="47">
        <v>100</v>
      </c>
      <c r="J36" s="49"/>
      <c r="K36" s="47"/>
    </row>
    <row r="37" spans="1:11" x14ac:dyDescent="0.25">
      <c r="A37" s="47" t="s">
        <v>70</v>
      </c>
      <c r="B37" s="47"/>
      <c r="C37" s="47"/>
      <c r="D37" s="47">
        <v>100</v>
      </c>
      <c r="E37" s="47">
        <v>250</v>
      </c>
      <c r="F37" s="47">
        <v>0</v>
      </c>
      <c r="G37" s="47">
        <v>0</v>
      </c>
      <c r="H37" s="47">
        <v>0</v>
      </c>
      <c r="I37" s="47">
        <v>0</v>
      </c>
      <c r="J37" s="49">
        <v>0</v>
      </c>
      <c r="K37" s="47">
        <v>0</v>
      </c>
    </row>
    <row r="38" spans="1:11" x14ac:dyDescent="0.25">
      <c r="A38" s="47" t="s">
        <v>11</v>
      </c>
      <c r="B38" s="47"/>
      <c r="C38" s="47"/>
      <c r="D38" s="47">
        <v>30</v>
      </c>
      <c r="E38" s="47">
        <v>30</v>
      </c>
      <c r="F38" s="47">
        <v>0</v>
      </c>
      <c r="G38" s="47">
        <v>0</v>
      </c>
      <c r="H38" s="47">
        <v>30</v>
      </c>
      <c r="I38" s="47">
        <v>30</v>
      </c>
      <c r="J38" s="49">
        <v>0</v>
      </c>
      <c r="K38" s="47">
        <v>0</v>
      </c>
    </row>
    <row r="39" spans="1:11" x14ac:dyDescent="0.25">
      <c r="A39" s="47" t="s">
        <v>71</v>
      </c>
      <c r="B39" s="47"/>
      <c r="C39" s="47"/>
      <c r="D39" s="47">
        <v>350</v>
      </c>
      <c r="E39" s="47">
        <v>150</v>
      </c>
      <c r="F39" s="47">
        <v>150</v>
      </c>
      <c r="G39" s="47">
        <v>100</v>
      </c>
      <c r="H39" s="47">
        <v>350</v>
      </c>
      <c r="I39" s="47">
        <v>250</v>
      </c>
      <c r="J39" s="47">
        <v>50</v>
      </c>
      <c r="K39" s="47">
        <v>20</v>
      </c>
    </row>
    <row r="40" spans="1:11" ht="8.2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9"/>
      <c r="K40" s="47"/>
    </row>
    <row r="41" spans="1:11" s="1" customFormat="1" x14ac:dyDescent="0.25">
      <c r="A41" s="56" t="s">
        <v>12</v>
      </c>
      <c r="B41" s="56"/>
      <c r="C41" s="56"/>
      <c r="D41" s="56">
        <f>SUM(D35:D39)</f>
        <v>630</v>
      </c>
      <c r="E41" s="56">
        <f t="shared" ref="E41:J41" si="4">SUM(E35:E39)</f>
        <v>530</v>
      </c>
      <c r="F41" s="56">
        <f>SUM(F35:F39)</f>
        <v>150</v>
      </c>
      <c r="G41" s="56">
        <f>SUM(G35:G39)</f>
        <v>100</v>
      </c>
      <c r="H41" s="56">
        <f>SUM(H35:H39)</f>
        <v>630</v>
      </c>
      <c r="I41" s="56">
        <f>SUM(I35:I39)</f>
        <v>530</v>
      </c>
      <c r="J41" s="56">
        <f t="shared" si="4"/>
        <v>50</v>
      </c>
      <c r="K41" s="56">
        <f>SUM(K35:K39)</f>
        <v>20</v>
      </c>
    </row>
    <row r="42" spans="1:11" ht="14.4" x14ac:dyDescent="0.3">
      <c r="A42" s="8"/>
      <c r="B42" s="8"/>
      <c r="C42" s="8"/>
      <c r="D42" s="8"/>
      <c r="E42" s="8"/>
      <c r="F42" s="8"/>
      <c r="G42" s="8"/>
      <c r="H42" s="8"/>
      <c r="I42" s="8"/>
      <c r="J42" s="13"/>
      <c r="K42" s="8"/>
    </row>
    <row r="43" spans="1:11" ht="9.75" customHeight="1" x14ac:dyDescent="0.25">
      <c r="A43" s="3"/>
      <c r="B43" s="3"/>
      <c r="C43" s="3"/>
      <c r="D43" s="3"/>
      <c r="E43" s="3"/>
      <c r="F43" s="3"/>
      <c r="G43" s="3"/>
      <c r="H43" s="3"/>
      <c r="I43"/>
      <c r="K43" s="3"/>
    </row>
    <row r="44" spans="1:11" ht="30.6" x14ac:dyDescent="0.25">
      <c r="A44" s="105" t="s">
        <v>20</v>
      </c>
      <c r="B44" s="106"/>
      <c r="C44" s="107"/>
      <c r="D44" s="46" t="s">
        <v>6</v>
      </c>
      <c r="E44" s="46" t="s">
        <v>25</v>
      </c>
      <c r="F44" s="46" t="s">
        <v>32</v>
      </c>
      <c r="G44" s="46" t="s">
        <v>31</v>
      </c>
      <c r="H44" s="46" t="s">
        <v>5</v>
      </c>
      <c r="I44" s="46" t="s">
        <v>38</v>
      </c>
      <c r="J44" s="46" t="s">
        <v>34</v>
      </c>
      <c r="K44" s="46" t="s">
        <v>37</v>
      </c>
    </row>
    <row r="45" spans="1:11" x14ac:dyDescent="0.25">
      <c r="A45" s="24" t="s">
        <v>28</v>
      </c>
      <c r="B45" s="64">
        <v>17</v>
      </c>
      <c r="C45" s="24" t="s">
        <v>24</v>
      </c>
      <c r="D45" s="24"/>
      <c r="E45" s="24"/>
      <c r="F45" s="24"/>
      <c r="G45" s="25">
        <f>B3/3.6*B45/100</f>
        <v>708.33333333333348</v>
      </c>
      <c r="H45" s="24"/>
      <c r="I45" s="26"/>
      <c r="J45" s="27"/>
      <c r="K45" s="24"/>
    </row>
    <row r="46" spans="1:11" x14ac:dyDescent="0.25">
      <c r="A46" s="24" t="s">
        <v>25</v>
      </c>
      <c r="B46" s="64">
        <v>8.8000000000000007</v>
      </c>
      <c r="C46" s="24" t="s">
        <v>24</v>
      </c>
      <c r="D46" s="24"/>
      <c r="E46" s="25">
        <f>B5*B46/100+200</f>
        <v>1520</v>
      </c>
      <c r="F46" s="24"/>
      <c r="G46" s="24"/>
      <c r="H46" s="24"/>
      <c r="I46" s="26"/>
      <c r="J46" s="27"/>
      <c r="K46" s="24"/>
    </row>
    <row r="47" spans="1:11" x14ac:dyDescent="0.25">
      <c r="A47" s="24" t="s">
        <v>5</v>
      </c>
      <c r="B47" s="64">
        <v>370</v>
      </c>
      <c r="C47" s="24" t="s">
        <v>16</v>
      </c>
      <c r="D47" s="24"/>
      <c r="E47" s="24"/>
      <c r="F47" s="24"/>
      <c r="G47" s="24"/>
      <c r="H47" s="24">
        <f>B6*B47</f>
        <v>1110</v>
      </c>
      <c r="I47" s="26"/>
      <c r="J47" s="27"/>
      <c r="K47" s="24"/>
    </row>
    <row r="48" spans="1:11" x14ac:dyDescent="0.25">
      <c r="A48" s="24" t="s">
        <v>27</v>
      </c>
      <c r="B48" s="64">
        <v>17</v>
      </c>
      <c r="C48" s="24" t="s">
        <v>24</v>
      </c>
      <c r="D48" s="24"/>
      <c r="E48" s="24"/>
      <c r="F48" s="25">
        <f>B3/2.6*B48/100</f>
        <v>980.7692307692306</v>
      </c>
      <c r="G48" s="24"/>
      <c r="H48" s="24"/>
      <c r="I48" s="26"/>
      <c r="J48" s="27"/>
      <c r="K48" s="24"/>
    </row>
    <row r="49" spans="1:18" x14ac:dyDescent="0.25">
      <c r="A49" s="24" t="s">
        <v>14</v>
      </c>
      <c r="B49" s="64">
        <v>95</v>
      </c>
      <c r="C49" s="24" t="s">
        <v>17</v>
      </c>
      <c r="D49" s="25">
        <f>B8*B49/100</f>
        <v>1425</v>
      </c>
      <c r="E49" s="24"/>
      <c r="F49" s="24"/>
      <c r="G49" s="24"/>
      <c r="H49" s="24"/>
      <c r="I49" s="26"/>
      <c r="J49" s="27"/>
      <c r="K49" s="24"/>
    </row>
    <row r="50" spans="1:18" x14ac:dyDescent="0.25">
      <c r="A50" s="24" t="s">
        <v>34</v>
      </c>
      <c r="B50" s="64">
        <v>13</v>
      </c>
      <c r="C50" s="24" t="s">
        <v>24</v>
      </c>
      <c r="D50" s="25"/>
      <c r="E50" s="24"/>
      <c r="F50" s="24"/>
      <c r="G50" s="24"/>
      <c r="H50" s="24"/>
      <c r="I50" s="26"/>
      <c r="J50" s="27">
        <f>B9*B50/100</f>
        <v>1755</v>
      </c>
      <c r="K50" s="24"/>
    </row>
    <row r="51" spans="1:18" x14ac:dyDescent="0.25">
      <c r="A51" s="24" t="s">
        <v>38</v>
      </c>
      <c r="B51" s="64">
        <v>150</v>
      </c>
      <c r="C51" s="24" t="s">
        <v>43</v>
      </c>
      <c r="D51" s="25"/>
      <c r="E51" s="24"/>
      <c r="F51" s="24"/>
      <c r="G51" s="24"/>
      <c r="H51" s="24"/>
      <c r="I51" s="25">
        <f>B51*B10</f>
        <v>1256.9832402234636</v>
      </c>
      <c r="J51" s="27"/>
      <c r="K51" s="24"/>
    </row>
    <row r="52" spans="1:18" x14ac:dyDescent="0.25">
      <c r="A52" s="102" t="s">
        <v>15</v>
      </c>
      <c r="B52" s="103"/>
      <c r="C52" s="104"/>
      <c r="D52" s="24">
        <v>30</v>
      </c>
      <c r="E52" s="24">
        <v>30</v>
      </c>
      <c r="F52" s="24">
        <v>20</v>
      </c>
      <c r="G52" s="24">
        <v>20</v>
      </c>
      <c r="H52" s="24">
        <v>30</v>
      </c>
      <c r="I52" s="24">
        <v>30</v>
      </c>
      <c r="J52" s="24">
        <v>30</v>
      </c>
      <c r="K52" s="24">
        <v>20</v>
      </c>
    </row>
    <row r="53" spans="1:18" s="23" customFormat="1" x14ac:dyDescent="0.25">
      <c r="A53" s="99" t="s">
        <v>65</v>
      </c>
      <c r="B53" s="100"/>
      <c r="C53" s="101"/>
      <c r="D53" s="53">
        <f>SUM(D45:D52)</f>
        <v>1455</v>
      </c>
      <c r="E53" s="53">
        <f t="shared" ref="E53:J53" si="5">SUM(E45:E52)</f>
        <v>1550</v>
      </c>
      <c r="F53" s="53">
        <f>SUM(F45:F52)</f>
        <v>1000.7692307692306</v>
      </c>
      <c r="G53" s="53">
        <f>SUM(G45:G52)</f>
        <v>728.33333333333348</v>
      </c>
      <c r="H53" s="53">
        <f>SUM(H45:H52)</f>
        <v>1140</v>
      </c>
      <c r="I53" s="53">
        <f>SUM(I45:I52)</f>
        <v>1286.9832402234636</v>
      </c>
      <c r="J53" s="53">
        <f t="shared" si="5"/>
        <v>1785</v>
      </c>
      <c r="K53" s="29">
        <v>20</v>
      </c>
      <c r="R53" s="54"/>
    </row>
    <row r="54" spans="1:18" s="41" customFormat="1" x14ac:dyDescent="0.25">
      <c r="A54" s="38"/>
      <c r="B54" s="38"/>
      <c r="C54" s="38"/>
      <c r="D54" s="39"/>
      <c r="E54" s="39"/>
      <c r="F54" s="39"/>
      <c r="G54" s="39"/>
      <c r="H54" s="39"/>
      <c r="I54" s="39"/>
      <c r="J54" s="39"/>
      <c r="K54" s="40"/>
      <c r="R54" s="42"/>
    </row>
    <row r="55" spans="1:18" s="41" customFormat="1" x14ac:dyDescent="0.25">
      <c r="A55" s="38"/>
      <c r="B55" s="38"/>
      <c r="C55" s="38"/>
      <c r="D55" s="39"/>
      <c r="E55" s="39"/>
      <c r="F55" s="39"/>
      <c r="G55" s="39"/>
      <c r="H55" s="39"/>
      <c r="I55" s="39"/>
      <c r="J55" s="39"/>
      <c r="K55" s="40"/>
      <c r="R55" s="42"/>
    </row>
    <row r="56" spans="1:18" ht="30.6" x14ac:dyDescent="0.25">
      <c r="A56" s="108" t="s">
        <v>84</v>
      </c>
      <c r="B56" s="109"/>
      <c r="C56" s="110"/>
      <c r="D56" s="45" t="s">
        <v>6</v>
      </c>
      <c r="E56" s="45" t="s">
        <v>25</v>
      </c>
      <c r="F56" s="45" t="s">
        <v>32</v>
      </c>
      <c r="G56" s="45" t="s">
        <v>31</v>
      </c>
      <c r="H56" s="45" t="s">
        <v>5</v>
      </c>
      <c r="I56" s="45" t="s">
        <v>38</v>
      </c>
      <c r="J56" s="45" t="s">
        <v>34</v>
      </c>
      <c r="K56" s="45" t="s">
        <v>37</v>
      </c>
    </row>
    <row r="57" spans="1:18" x14ac:dyDescent="0.25">
      <c r="A57" s="96" t="s">
        <v>76</v>
      </c>
      <c r="B57" s="30" t="s">
        <v>64</v>
      </c>
      <c r="C57" s="30"/>
      <c r="D57" s="30">
        <v>20</v>
      </c>
      <c r="E57" s="30">
        <v>20</v>
      </c>
      <c r="F57" s="30">
        <v>20</v>
      </c>
      <c r="G57" s="30">
        <v>25</v>
      </c>
      <c r="H57" s="30">
        <v>20</v>
      </c>
      <c r="I57" s="30">
        <v>20</v>
      </c>
      <c r="J57" s="31">
        <v>30</v>
      </c>
      <c r="K57" s="30">
        <v>25</v>
      </c>
      <c r="R57" s="19"/>
    </row>
    <row r="58" spans="1:18" x14ac:dyDescent="0.25">
      <c r="A58" s="96"/>
      <c r="B58" s="97" t="s">
        <v>62</v>
      </c>
      <c r="C58" s="98"/>
      <c r="D58" s="32">
        <v>6.7000000000000004E-2</v>
      </c>
      <c r="E58" s="32">
        <v>6.7000000000000004E-2</v>
      </c>
      <c r="F58" s="32">
        <v>6.7000000000000004E-2</v>
      </c>
      <c r="G58" s="32">
        <v>5.7500000000000002E-2</v>
      </c>
      <c r="H58" s="32">
        <v>6.7000000000000004E-2</v>
      </c>
      <c r="I58" s="32">
        <v>6.7000000000000004E-2</v>
      </c>
      <c r="J58" s="33">
        <v>5.0999999999999997E-2</v>
      </c>
      <c r="K58" s="32">
        <v>5.7500000000000002E-2</v>
      </c>
    </row>
    <row r="59" spans="1:18" x14ac:dyDescent="0.25">
      <c r="A59" s="96"/>
      <c r="B59" s="97" t="s">
        <v>63</v>
      </c>
      <c r="C59" s="98"/>
      <c r="D59" s="34">
        <f t="shared" ref="D59:K59" si="6">0.067*(D28-D32)</f>
        <v>1266.3000000000002</v>
      </c>
      <c r="E59" s="34">
        <f t="shared" si="6"/>
        <v>1266.3000000000002</v>
      </c>
      <c r="F59" s="34">
        <f t="shared" si="6"/>
        <v>1575.8400000000001</v>
      </c>
      <c r="G59" s="34">
        <f>0.057*(G28-G32)</f>
        <v>1752.4080000000001</v>
      </c>
      <c r="H59" s="34">
        <f t="shared" si="6"/>
        <v>1632.1200000000001</v>
      </c>
      <c r="I59" s="34">
        <f t="shared" si="6"/>
        <v>1407</v>
      </c>
      <c r="J59" s="34">
        <f>0.051*(J28-J32)</f>
        <v>664.02</v>
      </c>
      <c r="K59" s="34">
        <f t="shared" si="6"/>
        <v>900.48</v>
      </c>
    </row>
    <row r="60" spans="1:18" ht="17.25" customHeight="1" x14ac:dyDescent="0.25">
      <c r="A60" s="30" t="s">
        <v>19</v>
      </c>
      <c r="B60" s="30"/>
      <c r="C60" s="30"/>
      <c r="D60" s="30">
        <f>D41</f>
        <v>630</v>
      </c>
      <c r="E60" s="30">
        <f t="shared" ref="E60:J60" si="7">E41</f>
        <v>530</v>
      </c>
      <c r="F60" s="30">
        <f>F41</f>
        <v>150</v>
      </c>
      <c r="G60" s="30">
        <f>G41</f>
        <v>100</v>
      </c>
      <c r="H60" s="30">
        <f>H41</f>
        <v>630</v>
      </c>
      <c r="I60" s="30">
        <f>I41</f>
        <v>530</v>
      </c>
      <c r="J60" s="31">
        <f t="shared" si="7"/>
        <v>50</v>
      </c>
      <c r="K60" s="34">
        <f>K41</f>
        <v>20</v>
      </c>
    </row>
    <row r="61" spans="1:18" x14ac:dyDescent="0.25">
      <c r="A61" s="30" t="s">
        <v>69</v>
      </c>
      <c r="B61" s="30"/>
      <c r="C61" s="30"/>
      <c r="D61" s="34">
        <f>D53</f>
        <v>1455</v>
      </c>
      <c r="E61" s="34">
        <f t="shared" ref="E61" si="8">E53</f>
        <v>1550</v>
      </c>
      <c r="F61" s="34">
        <f t="shared" ref="F61:K61" si="9">F53</f>
        <v>1000.7692307692306</v>
      </c>
      <c r="G61" s="34">
        <f t="shared" si="9"/>
        <v>728.33333333333348</v>
      </c>
      <c r="H61" s="34">
        <f t="shared" si="9"/>
        <v>1140</v>
      </c>
      <c r="I61" s="34">
        <f t="shared" si="9"/>
        <v>1286.9832402234636</v>
      </c>
      <c r="J61" s="34">
        <f t="shared" si="9"/>
        <v>1785</v>
      </c>
      <c r="K61" s="30">
        <f t="shared" si="9"/>
        <v>20</v>
      </c>
    </row>
    <row r="62" spans="1:18" s="23" customFormat="1" x14ac:dyDescent="0.25">
      <c r="A62" s="30" t="s">
        <v>105</v>
      </c>
      <c r="B62" s="64">
        <v>24</v>
      </c>
      <c r="C62" s="30" t="s">
        <v>92</v>
      </c>
      <c r="D62" s="34">
        <f>B3/10*2.6/1000*B62</f>
        <v>93.6</v>
      </c>
      <c r="E62" s="34">
        <f>B3*0.2/1000*B62</f>
        <v>72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0">
        <v>0</v>
      </c>
    </row>
    <row r="63" spans="1:18" ht="7.2" customHeight="1" x14ac:dyDescent="0.25">
      <c r="A63" s="30"/>
      <c r="B63" s="30"/>
      <c r="C63" s="30"/>
      <c r="D63" s="30"/>
      <c r="E63" s="30"/>
      <c r="F63" s="30"/>
      <c r="G63" s="30"/>
      <c r="H63" s="30"/>
      <c r="I63" s="35"/>
      <c r="J63" s="31"/>
      <c r="K63" s="34"/>
    </row>
    <row r="64" spans="1:18" s="1" customFormat="1" x14ac:dyDescent="0.25">
      <c r="A64" s="36" t="s">
        <v>66</v>
      </c>
      <c r="B64" s="36"/>
      <c r="C64" s="36"/>
      <c r="D64" s="37">
        <f t="shared" ref="D64:I64" si="10">SUM(D59:D61)</f>
        <v>3351.3</v>
      </c>
      <c r="E64" s="37">
        <f t="shared" si="10"/>
        <v>3346.3</v>
      </c>
      <c r="F64" s="37">
        <f t="shared" si="10"/>
        <v>2726.6092307692306</v>
      </c>
      <c r="G64" s="37">
        <f>SUM(G59:G61)</f>
        <v>2580.7413333333334</v>
      </c>
      <c r="H64" s="37">
        <f t="shared" si="10"/>
        <v>3402.12</v>
      </c>
      <c r="I64" s="37">
        <f t="shared" si="10"/>
        <v>3223.9832402234633</v>
      </c>
      <c r="J64" s="37">
        <f t="shared" ref="J64" si="11">SUM(J59:J61)</f>
        <v>2499.02</v>
      </c>
      <c r="K64" s="37">
        <f>SUM(K59:K61)</f>
        <v>940.48</v>
      </c>
    </row>
    <row r="65" spans="1:11" ht="7.5" customHeight="1" x14ac:dyDescent="0.25">
      <c r="A65" s="30"/>
      <c r="B65" s="30"/>
      <c r="C65" s="30"/>
      <c r="D65" s="30"/>
      <c r="E65" s="30"/>
      <c r="F65" s="30"/>
      <c r="G65" s="30"/>
      <c r="H65" s="30"/>
      <c r="I65" s="35"/>
      <c r="J65" s="31"/>
      <c r="K65" s="30"/>
    </row>
    <row r="66" spans="1:11" x14ac:dyDescent="0.25">
      <c r="A66" s="36" t="s">
        <v>22</v>
      </c>
      <c r="B66" s="36"/>
      <c r="C66" s="36"/>
      <c r="D66" s="36">
        <f t="shared" ref="D66:I66" si="12">ROUND(D64/$B$3*100,1)</f>
        <v>22.3</v>
      </c>
      <c r="E66" s="36">
        <f t="shared" si="12"/>
        <v>22.3</v>
      </c>
      <c r="F66" s="36">
        <f t="shared" si="12"/>
        <v>18.2</v>
      </c>
      <c r="G66" s="36">
        <f t="shared" si="12"/>
        <v>17.2</v>
      </c>
      <c r="H66" s="36">
        <f t="shared" si="12"/>
        <v>22.7</v>
      </c>
      <c r="I66" s="36">
        <f t="shared" si="12"/>
        <v>21.5</v>
      </c>
      <c r="J66" s="36">
        <f t="shared" ref="J66" si="13">ROUND(J64/$B$3*100,1)</f>
        <v>16.7</v>
      </c>
      <c r="K66" s="36">
        <f>ROUND(K64/2500*100,1)</f>
        <v>37.6</v>
      </c>
    </row>
    <row r="67" spans="1:11" s="74" customFormat="1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9" spans="1:11" ht="30.6" x14ac:dyDescent="0.25">
      <c r="A69" s="87" t="s">
        <v>73</v>
      </c>
      <c r="B69" s="88"/>
      <c r="C69" s="89"/>
      <c r="D69" s="72" t="s">
        <v>6</v>
      </c>
      <c r="E69" s="72" t="s">
        <v>25</v>
      </c>
      <c r="F69" s="72" t="s">
        <v>97</v>
      </c>
      <c r="G69" s="72" t="s">
        <v>96</v>
      </c>
      <c r="H69" s="72" t="s">
        <v>5</v>
      </c>
      <c r="I69" s="72" t="s">
        <v>38</v>
      </c>
      <c r="J69" s="72" t="s">
        <v>34</v>
      </c>
      <c r="K69" s="72" t="s">
        <v>37</v>
      </c>
    </row>
    <row r="70" spans="1:11" s="3" customFormat="1" x14ac:dyDescent="0.25">
      <c r="A70" s="75" t="s">
        <v>74</v>
      </c>
      <c r="B70" s="75" t="s">
        <v>75</v>
      </c>
      <c r="C70" s="75"/>
      <c r="D70" s="76">
        <f>B8*2.977/1000</f>
        <v>4.4654999999999996</v>
      </c>
      <c r="E70" s="76">
        <f>B5*0.23/1000</f>
        <v>3.45</v>
      </c>
      <c r="F70" s="76">
        <f>B7*0.102/1000</f>
        <v>0.58846153846153837</v>
      </c>
      <c r="G70" s="76">
        <f>B4*0.102/1000</f>
        <v>0.42499999999999999</v>
      </c>
      <c r="H70" s="76">
        <f>B6*0.0344</f>
        <v>0.1032</v>
      </c>
      <c r="I70" s="76">
        <f>B3/1790*0.011</f>
        <v>9.2178770949720656E-2</v>
      </c>
      <c r="J70" s="76">
        <f>B3/5000*0.023</f>
        <v>6.9000000000000006E-2</v>
      </c>
      <c r="K70" s="75"/>
    </row>
    <row r="71" spans="1:11" ht="13.2" x14ac:dyDescent="0.25">
      <c r="A71" s="79" t="s">
        <v>80</v>
      </c>
      <c r="B71" s="82" t="s">
        <v>82</v>
      </c>
      <c r="C71" s="79"/>
      <c r="D71" s="79"/>
      <c r="E71" s="80">
        <f>D70-E70</f>
        <v>1.0154999999999994</v>
      </c>
      <c r="F71" s="80">
        <f>D70-F70</f>
        <v>3.8770384615384614</v>
      </c>
      <c r="G71" s="80">
        <f>D70-G70</f>
        <v>4.0404999999999998</v>
      </c>
      <c r="H71" s="80">
        <f>D70-H70</f>
        <v>4.3622999999999994</v>
      </c>
      <c r="I71" s="80">
        <f>D70-I70</f>
        <v>4.373321229050279</v>
      </c>
      <c r="J71" s="80">
        <f>D70-J70</f>
        <v>4.3964999999999996</v>
      </c>
      <c r="K71" s="79"/>
    </row>
    <row r="72" spans="1:11" ht="13.2" x14ac:dyDescent="0.25">
      <c r="A72" s="79" t="s">
        <v>80</v>
      </c>
      <c r="B72" s="79" t="s">
        <v>81</v>
      </c>
      <c r="C72" s="79"/>
      <c r="D72" s="79"/>
      <c r="E72" s="81">
        <f>E71/D70</f>
        <v>0.227410144440712</v>
      </c>
      <c r="F72" s="81">
        <f>F71/D70</f>
        <v>0.86822045941965331</v>
      </c>
      <c r="G72" s="81">
        <f>G71/D70</f>
        <v>0.90482588735863845</v>
      </c>
      <c r="H72" s="81">
        <f>H71/D70</f>
        <v>0.97688948605979165</v>
      </c>
      <c r="I72" s="81">
        <f>I71/D70</f>
        <v>0.97935757004820945</v>
      </c>
      <c r="J72" s="81">
        <f>J71/D70</f>
        <v>0.98454820288881428</v>
      </c>
      <c r="K72" s="79"/>
    </row>
    <row r="73" spans="1:11" x14ac:dyDescent="0.25">
      <c r="A73" t="s">
        <v>98</v>
      </c>
    </row>
    <row r="130" ht="15" customHeight="1" x14ac:dyDescent="0.25"/>
  </sheetData>
  <mergeCells count="11">
    <mergeCell ref="A69:C69"/>
    <mergeCell ref="A34:C34"/>
    <mergeCell ref="A12:C12"/>
    <mergeCell ref="A57:A59"/>
    <mergeCell ref="B58:C58"/>
    <mergeCell ref="B59:C59"/>
    <mergeCell ref="A53:C53"/>
    <mergeCell ref="A52:C52"/>
    <mergeCell ref="A44:C44"/>
    <mergeCell ref="A56:C56"/>
    <mergeCell ref="A31:C31"/>
  </mergeCells>
  <phoneticPr fontId="0" type="noConversion"/>
  <pageMargins left="0.2" right="0.11" top="0.59" bottom="0.69" header="0.4921259845" footer="0.4921259845"/>
  <pageSetup paperSize="9" scale="83" orientation="landscape" verticalDpi="300" r:id="rId1"/>
  <headerFooter alignWithMargins="0">
    <oddFooter>&amp;CVersion 23.1.2019</oddFooter>
  </headerFooter>
  <rowBreaks count="4" manualBreakCount="4">
    <brk id="42" max="11" man="1"/>
    <brk id="73" max="11" man="1"/>
    <brk id="101" max="16383" man="1"/>
    <brk id="1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90" zoomScaleNormal="90" workbookViewId="0">
      <selection activeCell="B3" sqref="B3"/>
    </sheetView>
  </sheetViews>
  <sheetFormatPr baseColWidth="10" defaultRowHeight="13.8" x14ac:dyDescent="0.25"/>
  <cols>
    <col min="1" max="1" width="26.6640625" customWidth="1"/>
    <col min="2" max="2" width="11.5546875" customWidth="1"/>
    <col min="3" max="3" width="22" customWidth="1"/>
    <col min="4" max="4" width="9.88671875" customWidth="1"/>
    <col min="5" max="5" width="10" customWidth="1"/>
    <col min="6" max="6" width="11.5546875" customWidth="1"/>
    <col min="7" max="7" width="10.109375" customWidth="1"/>
    <col min="8" max="9" width="10" customWidth="1"/>
    <col min="10" max="10" width="11" style="12" customWidth="1"/>
    <col min="11" max="11" width="9.88671875" customWidth="1"/>
    <col min="12" max="12" width="4.109375" customWidth="1"/>
  </cols>
  <sheetData>
    <row r="1" spans="1:11" ht="17.399999999999999" x14ac:dyDescent="0.3">
      <c r="A1" s="2" t="s">
        <v>102</v>
      </c>
      <c r="D1" s="86" t="s">
        <v>103</v>
      </c>
      <c r="E1" s="15"/>
      <c r="F1" s="15"/>
    </row>
    <row r="2" spans="1:11" ht="5.85" customHeight="1" x14ac:dyDescent="0.25"/>
    <row r="3" spans="1:11" x14ac:dyDescent="0.25">
      <c r="A3" s="3" t="s">
        <v>0</v>
      </c>
      <c r="B3" s="17">
        <v>30000</v>
      </c>
      <c r="C3" s="3" t="s">
        <v>1</v>
      </c>
      <c r="D3" s="3"/>
      <c r="E3" s="3"/>
      <c r="F3" s="3"/>
      <c r="G3" s="3"/>
      <c r="H3" s="14" t="s">
        <v>23</v>
      </c>
      <c r="I3" s="18">
        <v>350</v>
      </c>
      <c r="J3" s="3" t="s">
        <v>21</v>
      </c>
    </row>
    <row r="4" spans="1:11" x14ac:dyDescent="0.25">
      <c r="A4" s="3" t="s">
        <v>33</v>
      </c>
      <c r="B4" s="10">
        <f>B3/3.6</f>
        <v>8333.3333333333339</v>
      </c>
      <c r="C4" s="3" t="s">
        <v>29</v>
      </c>
      <c r="D4" s="3"/>
      <c r="E4" s="3"/>
      <c r="F4" s="3"/>
      <c r="G4" s="3"/>
      <c r="H4" s="14" t="s">
        <v>44</v>
      </c>
      <c r="I4" s="5">
        <f>(3/4*B3/70)</f>
        <v>321.42857142857144</v>
      </c>
      <c r="J4" s="3" t="s">
        <v>51</v>
      </c>
      <c r="K4" s="3"/>
    </row>
    <row r="5" spans="1:11" x14ac:dyDescent="0.25">
      <c r="A5" s="3"/>
      <c r="B5" s="5">
        <f>B3/1</f>
        <v>30000</v>
      </c>
      <c r="C5" s="3" t="s">
        <v>93</v>
      </c>
      <c r="D5" s="3"/>
      <c r="E5" s="3"/>
      <c r="F5" s="3"/>
      <c r="G5" s="3"/>
      <c r="H5" s="16" t="s">
        <v>45</v>
      </c>
      <c r="I5" s="7">
        <f>B3/I3</f>
        <v>85.714285714285708</v>
      </c>
      <c r="J5" s="3" t="s">
        <v>26</v>
      </c>
    </row>
    <row r="6" spans="1:11" x14ac:dyDescent="0.25">
      <c r="A6" s="3"/>
      <c r="B6" s="6">
        <f>B3/5000</f>
        <v>6</v>
      </c>
      <c r="C6" s="3" t="s">
        <v>3</v>
      </c>
      <c r="D6" s="3"/>
      <c r="E6" s="3"/>
      <c r="F6" s="3"/>
      <c r="G6" s="3"/>
      <c r="H6" s="3"/>
      <c r="I6" s="3"/>
      <c r="K6" s="3"/>
    </row>
    <row r="7" spans="1:11" x14ac:dyDescent="0.25">
      <c r="A7" s="3"/>
      <c r="B7" s="5">
        <f>B3/2.6</f>
        <v>11538.461538461537</v>
      </c>
      <c r="C7" s="3" t="s">
        <v>30</v>
      </c>
      <c r="D7" s="3"/>
      <c r="E7" s="3"/>
      <c r="F7" s="3"/>
      <c r="G7" s="3"/>
      <c r="H7" s="3"/>
      <c r="I7" s="3"/>
      <c r="K7" s="3"/>
    </row>
    <row r="8" spans="1:11" x14ac:dyDescent="0.25">
      <c r="A8" s="3"/>
      <c r="B8" s="5">
        <f>B3/10</f>
        <v>3000</v>
      </c>
      <c r="C8" s="3" t="s">
        <v>2</v>
      </c>
      <c r="D8" s="3"/>
      <c r="E8" s="3"/>
      <c r="F8" s="3"/>
      <c r="G8" s="3"/>
      <c r="H8" s="3"/>
      <c r="I8" s="3"/>
      <c r="K8" s="3"/>
    </row>
    <row r="9" spans="1:11" x14ac:dyDescent="0.25">
      <c r="A9" s="3"/>
      <c r="B9" s="5">
        <f>B3/2000</f>
        <v>15</v>
      </c>
      <c r="C9" s="3" t="s">
        <v>41</v>
      </c>
      <c r="D9" s="3"/>
      <c r="E9" s="3"/>
      <c r="F9" s="3"/>
      <c r="G9" s="3" t="s">
        <v>78</v>
      </c>
      <c r="I9" s="3"/>
      <c r="K9" s="3"/>
    </row>
    <row r="10" spans="1:11" x14ac:dyDescent="0.25">
      <c r="A10" s="3"/>
      <c r="B10" s="5">
        <f>B3*0.9</f>
        <v>27000</v>
      </c>
      <c r="C10" s="3" t="s">
        <v>35</v>
      </c>
      <c r="D10" s="3"/>
      <c r="E10" s="3"/>
      <c r="F10" s="3"/>
      <c r="G10" s="3"/>
      <c r="H10" s="3"/>
      <c r="I10" s="3"/>
      <c r="K10" s="3"/>
    </row>
    <row r="11" spans="1:11" ht="13.5" customHeight="1" x14ac:dyDescent="0.25">
      <c r="A11" s="3"/>
      <c r="B11" s="5"/>
      <c r="C11" s="3"/>
      <c r="D11" s="3"/>
      <c r="E11" s="3"/>
      <c r="F11" s="3"/>
      <c r="G11" s="3"/>
      <c r="H11" s="3"/>
      <c r="I11" s="3"/>
      <c r="K11" s="3"/>
    </row>
    <row r="12" spans="1:11" ht="33" customHeight="1" x14ac:dyDescent="0.25">
      <c r="A12" s="93" t="s">
        <v>4</v>
      </c>
      <c r="B12" s="94"/>
      <c r="C12" s="95"/>
      <c r="D12" s="50" t="s">
        <v>6</v>
      </c>
      <c r="E12" s="50" t="s">
        <v>25</v>
      </c>
      <c r="F12" s="50" t="s">
        <v>32</v>
      </c>
      <c r="G12" s="50" t="s">
        <v>31</v>
      </c>
      <c r="H12" s="50" t="s">
        <v>54</v>
      </c>
      <c r="I12" s="50" t="s">
        <v>38</v>
      </c>
      <c r="J12" s="50" t="s">
        <v>34</v>
      </c>
      <c r="K12" s="50" t="s">
        <v>68</v>
      </c>
    </row>
    <row r="13" spans="1:11" ht="15" x14ac:dyDescent="0.25">
      <c r="A13" s="43" t="s">
        <v>53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x14ac:dyDescent="0.25">
      <c r="A14" s="43" t="s">
        <v>47</v>
      </c>
      <c r="B14" s="43"/>
      <c r="C14" s="43"/>
      <c r="D14" s="43">
        <v>3000</v>
      </c>
      <c r="E14" s="43">
        <v>3000</v>
      </c>
      <c r="F14" s="43">
        <v>3000</v>
      </c>
      <c r="G14" s="43">
        <v>3000</v>
      </c>
      <c r="H14" s="43">
        <v>3000</v>
      </c>
      <c r="I14" s="43">
        <v>3000</v>
      </c>
      <c r="J14" s="43">
        <v>3000</v>
      </c>
      <c r="K14" s="43"/>
    </row>
    <row r="15" spans="1:11" x14ac:dyDescent="0.25">
      <c r="A15" s="43" t="s">
        <v>55</v>
      </c>
      <c r="B15" s="43"/>
      <c r="C15" s="43"/>
      <c r="D15" s="43">
        <v>9500</v>
      </c>
      <c r="E15" s="43">
        <v>9000</v>
      </c>
      <c r="F15" s="43">
        <v>21000</v>
      </c>
      <c r="G15" s="43">
        <v>19000</v>
      </c>
      <c r="H15" s="43">
        <v>17000</v>
      </c>
      <c r="I15" s="43">
        <v>16000</v>
      </c>
      <c r="J15" s="43">
        <v>8000</v>
      </c>
      <c r="K15" s="43">
        <v>16000</v>
      </c>
    </row>
    <row r="16" spans="1:11" x14ac:dyDescent="0.25">
      <c r="A16" s="43" t="s">
        <v>52</v>
      </c>
      <c r="B16" s="43"/>
      <c r="C16" s="43"/>
      <c r="D16" s="43">
        <v>0</v>
      </c>
      <c r="E16" s="43">
        <v>0</v>
      </c>
      <c r="F16" s="43">
        <v>0</v>
      </c>
      <c r="G16" s="43">
        <f>ROUND(I4/10,0)*850</f>
        <v>27200</v>
      </c>
      <c r="H16" s="43">
        <v>0</v>
      </c>
      <c r="I16" s="43">
        <v>0</v>
      </c>
      <c r="J16" s="43">
        <v>0</v>
      </c>
      <c r="K16" s="43"/>
    </row>
    <row r="17" spans="1:11" x14ac:dyDescent="0.25">
      <c r="A17" s="43" t="s">
        <v>49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/>
      <c r="J17" s="43">
        <v>0</v>
      </c>
      <c r="K17" s="43"/>
    </row>
    <row r="18" spans="1:11" x14ac:dyDescent="0.25">
      <c r="A18" s="43" t="s">
        <v>50</v>
      </c>
      <c r="B18" s="43"/>
      <c r="C18" s="43"/>
      <c r="D18" s="43">
        <v>4000</v>
      </c>
      <c r="E18" s="43">
        <v>3000</v>
      </c>
      <c r="F18" s="43">
        <v>8000</v>
      </c>
      <c r="G18" s="43">
        <v>8000</v>
      </c>
      <c r="H18" s="43">
        <v>5000</v>
      </c>
      <c r="I18" s="43">
        <v>8000</v>
      </c>
      <c r="J18" s="43">
        <v>0</v>
      </c>
      <c r="K18" s="43"/>
    </row>
    <row r="19" spans="1:11" x14ac:dyDescent="0.25">
      <c r="A19" s="43" t="s">
        <v>46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5">
      <c r="A20" s="43" t="s">
        <v>77</v>
      </c>
      <c r="B20" s="43"/>
      <c r="C20" s="43"/>
      <c r="D20" s="43">
        <v>3000</v>
      </c>
      <c r="E20" s="43">
        <v>3000</v>
      </c>
      <c r="F20" s="43">
        <v>0</v>
      </c>
      <c r="G20" s="43">
        <v>0</v>
      </c>
      <c r="H20" s="43">
        <v>1000</v>
      </c>
      <c r="I20" s="43">
        <v>1000</v>
      </c>
      <c r="J20" s="43">
        <v>0</v>
      </c>
      <c r="K20" s="43"/>
    </row>
    <row r="21" spans="1:11" x14ac:dyDescent="0.25">
      <c r="A21" s="43" t="s">
        <v>7</v>
      </c>
      <c r="B21" s="43"/>
      <c r="C21" s="43"/>
      <c r="D21" s="43">
        <v>3000</v>
      </c>
      <c r="E21" s="43">
        <v>2500</v>
      </c>
      <c r="F21" s="43">
        <v>3000</v>
      </c>
      <c r="G21" s="43">
        <v>3000</v>
      </c>
      <c r="H21" s="43">
        <v>4000</v>
      </c>
      <c r="I21" s="43">
        <v>5000</v>
      </c>
      <c r="J21" s="43">
        <v>2000</v>
      </c>
      <c r="K21" s="43"/>
    </row>
    <row r="22" spans="1:11" x14ac:dyDescent="0.25">
      <c r="A22" s="43" t="s">
        <v>8</v>
      </c>
      <c r="B22" s="43"/>
      <c r="C22" s="43"/>
      <c r="D22" s="43">
        <v>2000</v>
      </c>
      <c r="E22" s="43">
        <v>1500</v>
      </c>
      <c r="F22" s="43">
        <v>2500</v>
      </c>
      <c r="G22" s="43">
        <v>3000</v>
      </c>
      <c r="H22" s="43">
        <v>2000</v>
      </c>
      <c r="I22" s="43">
        <v>2000</v>
      </c>
      <c r="J22" s="44">
        <v>1000</v>
      </c>
      <c r="K22" s="43"/>
    </row>
    <row r="23" spans="1:11" ht="6.7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3" t="s">
        <v>13</v>
      </c>
      <c r="B24" s="43"/>
      <c r="C24" s="43"/>
      <c r="D24" s="43">
        <f t="shared" ref="D24:K24" si="0">SUM(D13:D22)</f>
        <v>25000</v>
      </c>
      <c r="E24" s="43">
        <f t="shared" si="0"/>
        <v>27500</v>
      </c>
      <c r="F24" s="43">
        <f t="shared" si="0"/>
        <v>38000</v>
      </c>
      <c r="G24" s="43">
        <f t="shared" si="0"/>
        <v>63700</v>
      </c>
      <c r="H24" s="43">
        <f t="shared" si="0"/>
        <v>39500</v>
      </c>
      <c r="I24" s="43">
        <f t="shared" si="0"/>
        <v>35500</v>
      </c>
      <c r="J24" s="43">
        <f t="shared" si="0"/>
        <v>22500</v>
      </c>
      <c r="K24" s="43">
        <f t="shared" si="0"/>
        <v>16000</v>
      </c>
    </row>
    <row r="25" spans="1:11" x14ac:dyDescent="0.25">
      <c r="A25" s="43" t="s">
        <v>57</v>
      </c>
      <c r="B25" s="43"/>
      <c r="C25" s="43"/>
      <c r="D25" s="43">
        <v>0</v>
      </c>
      <c r="E25" s="43">
        <v>0</v>
      </c>
      <c r="F25" s="43">
        <v>4000</v>
      </c>
      <c r="G25" s="43">
        <v>8000</v>
      </c>
      <c r="H25" s="43">
        <v>7000</v>
      </c>
      <c r="I25" s="43">
        <v>7000</v>
      </c>
      <c r="J25" s="43">
        <v>7000</v>
      </c>
      <c r="K25" s="43"/>
    </row>
    <row r="26" spans="1:11" s="23" customFormat="1" x14ac:dyDescent="0.25">
      <c r="A26" s="43" t="s">
        <v>56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s="23" customFormat="1" ht="6.75" customHeight="1" x14ac:dyDescent="0.25">
      <c r="A27" s="65"/>
      <c r="B27" s="66"/>
      <c r="C27" s="67"/>
      <c r="D27" s="43"/>
      <c r="E27" s="43"/>
      <c r="F27" s="43"/>
      <c r="G27" s="43"/>
      <c r="H27" s="43"/>
      <c r="I27" s="43"/>
      <c r="J27" s="43"/>
      <c r="K27" s="43"/>
    </row>
    <row r="28" spans="1:11" s="57" customFormat="1" ht="15.75" customHeight="1" x14ac:dyDescent="0.25">
      <c r="A28" s="117" t="s">
        <v>88</v>
      </c>
      <c r="B28" s="118"/>
      <c r="C28" s="119"/>
      <c r="D28" s="61">
        <f>D24-D25-D26</f>
        <v>25000</v>
      </c>
      <c r="E28" s="61">
        <f t="shared" ref="E28:K28" si="1">E24-E25-E26</f>
        <v>27500</v>
      </c>
      <c r="F28" s="61">
        <f>F24-F25-F26</f>
        <v>34000</v>
      </c>
      <c r="G28" s="61">
        <f>G24-G25-G26</f>
        <v>55700</v>
      </c>
      <c r="H28" s="61">
        <f>H24-H25-H26</f>
        <v>32500</v>
      </c>
      <c r="I28" s="61">
        <f t="shared" si="1"/>
        <v>28500</v>
      </c>
      <c r="J28" s="61">
        <f t="shared" si="1"/>
        <v>15500</v>
      </c>
      <c r="K28" s="61">
        <f t="shared" si="1"/>
        <v>16000</v>
      </c>
    </row>
    <row r="29" spans="1:11" s="57" customFormat="1" ht="15.75" customHeight="1" x14ac:dyDescent="0.25">
      <c r="A29" s="3" t="s">
        <v>87</v>
      </c>
      <c r="B29" s="3"/>
      <c r="C29" s="3"/>
      <c r="D29" s="3"/>
      <c r="E29" s="3"/>
      <c r="F29" s="3"/>
      <c r="G29" s="3"/>
      <c r="H29" s="3"/>
      <c r="I29" s="3"/>
      <c r="J29" s="12"/>
      <c r="K29" s="3"/>
    </row>
    <row r="30" spans="1:11" s="57" customFormat="1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12"/>
      <c r="K30" s="3"/>
    </row>
    <row r="31" spans="1:11" s="57" customFormat="1" ht="15.75" customHeight="1" x14ac:dyDescent="0.25">
      <c r="A31" s="111" t="s">
        <v>94</v>
      </c>
      <c r="B31" s="112"/>
      <c r="C31" s="113"/>
      <c r="D31" s="83"/>
      <c r="E31" s="83"/>
      <c r="F31" s="83"/>
      <c r="G31" s="83"/>
      <c r="H31" s="83"/>
      <c r="I31" s="83"/>
      <c r="J31" s="85"/>
      <c r="K31" s="83"/>
    </row>
    <row r="32" spans="1:11" s="57" customFormat="1" ht="14.25" customHeight="1" x14ac:dyDescent="0.25">
      <c r="A32" s="83" t="s">
        <v>99</v>
      </c>
      <c r="B32" s="83"/>
      <c r="C32" s="83"/>
      <c r="D32" s="83">
        <f t="shared" ref="D32:J32" si="2">D28*0.16</f>
        <v>4000</v>
      </c>
      <c r="E32" s="83">
        <f t="shared" si="2"/>
        <v>4400</v>
      </c>
      <c r="F32" s="83">
        <f>F28*0.16</f>
        <v>5440</v>
      </c>
      <c r="G32" s="83">
        <f t="shared" si="2"/>
        <v>8912</v>
      </c>
      <c r="H32" s="83">
        <f t="shared" si="2"/>
        <v>5200</v>
      </c>
      <c r="I32" s="83">
        <f t="shared" si="2"/>
        <v>4560</v>
      </c>
      <c r="J32" s="83">
        <f t="shared" si="2"/>
        <v>2480</v>
      </c>
      <c r="K32" s="83">
        <f t="shared" ref="K32" si="3">K28*0.16</f>
        <v>2560</v>
      </c>
    </row>
    <row r="33" spans="1:11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33.75" customHeight="1" x14ac:dyDescent="0.25">
      <c r="A34" s="90" t="s">
        <v>9</v>
      </c>
      <c r="B34" s="91"/>
      <c r="C34" s="92"/>
      <c r="D34" s="48" t="s">
        <v>6</v>
      </c>
      <c r="E34" s="48" t="s">
        <v>25</v>
      </c>
      <c r="F34" s="48" t="s">
        <v>32</v>
      </c>
      <c r="G34" s="48" t="s">
        <v>31</v>
      </c>
      <c r="H34" s="48" t="s">
        <v>54</v>
      </c>
      <c r="I34" s="48" t="s">
        <v>38</v>
      </c>
      <c r="J34" s="48" t="s">
        <v>34</v>
      </c>
      <c r="K34" s="48" t="s">
        <v>68</v>
      </c>
    </row>
    <row r="35" spans="1:11" x14ac:dyDescent="0.25">
      <c r="A35" s="47" t="s">
        <v>10</v>
      </c>
      <c r="B35" s="47"/>
      <c r="C35" s="47"/>
      <c r="D35" s="47">
        <v>150</v>
      </c>
      <c r="E35" s="47">
        <v>100</v>
      </c>
      <c r="F35" s="47">
        <v>0</v>
      </c>
      <c r="G35" s="47">
        <v>0</v>
      </c>
      <c r="H35" s="47">
        <v>150</v>
      </c>
      <c r="I35" s="47">
        <v>150</v>
      </c>
      <c r="J35" s="49">
        <v>0</v>
      </c>
      <c r="K35" s="47">
        <v>0</v>
      </c>
    </row>
    <row r="36" spans="1:11" x14ac:dyDescent="0.25">
      <c r="A36" s="47" t="s">
        <v>100</v>
      </c>
      <c r="B36" s="47"/>
      <c r="C36" s="47"/>
      <c r="D36" s="47"/>
      <c r="E36" s="47"/>
      <c r="F36" s="47"/>
      <c r="G36" s="47"/>
      <c r="H36" s="47">
        <v>100</v>
      </c>
      <c r="I36" s="47">
        <v>100</v>
      </c>
      <c r="J36" s="49"/>
      <c r="K36" s="47"/>
    </row>
    <row r="37" spans="1:11" x14ac:dyDescent="0.25">
      <c r="A37" s="47" t="s">
        <v>70</v>
      </c>
      <c r="B37" s="47"/>
      <c r="C37" s="47"/>
      <c r="D37" s="47">
        <v>100</v>
      </c>
      <c r="E37" s="47">
        <v>250</v>
      </c>
      <c r="F37" s="47">
        <v>0</v>
      </c>
      <c r="G37" s="47">
        <v>0</v>
      </c>
      <c r="H37" s="47">
        <v>0</v>
      </c>
      <c r="I37" s="47">
        <v>0</v>
      </c>
      <c r="J37" s="49">
        <v>0</v>
      </c>
      <c r="K37" s="47">
        <v>0</v>
      </c>
    </row>
    <row r="38" spans="1:11" x14ac:dyDescent="0.25">
      <c r="A38" s="47" t="s">
        <v>11</v>
      </c>
      <c r="B38" s="47"/>
      <c r="C38" s="47"/>
      <c r="D38" s="47">
        <v>50</v>
      </c>
      <c r="E38" s="47">
        <v>50</v>
      </c>
      <c r="F38" s="47">
        <v>0</v>
      </c>
      <c r="G38" s="47">
        <v>0</v>
      </c>
      <c r="H38" s="47">
        <v>50</v>
      </c>
      <c r="I38" s="47">
        <v>0</v>
      </c>
      <c r="J38" s="49">
        <v>0</v>
      </c>
      <c r="K38" s="47">
        <v>0</v>
      </c>
    </row>
    <row r="39" spans="1:11" x14ac:dyDescent="0.25">
      <c r="A39" s="47" t="s">
        <v>71</v>
      </c>
      <c r="B39" s="47"/>
      <c r="C39" s="47"/>
      <c r="D39" s="47">
        <v>350</v>
      </c>
      <c r="E39" s="47">
        <v>200</v>
      </c>
      <c r="F39" s="47">
        <v>150</v>
      </c>
      <c r="G39" s="47">
        <v>100</v>
      </c>
      <c r="H39" s="47">
        <v>350</v>
      </c>
      <c r="I39" s="47">
        <v>200</v>
      </c>
      <c r="J39" s="47">
        <v>50</v>
      </c>
      <c r="K39" s="47">
        <v>20</v>
      </c>
    </row>
    <row r="40" spans="1:11" ht="6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9"/>
      <c r="K40" s="47"/>
    </row>
    <row r="41" spans="1:11" s="59" customFormat="1" x14ac:dyDescent="0.25">
      <c r="A41" s="58" t="s">
        <v>12</v>
      </c>
      <c r="B41" s="58"/>
      <c r="C41" s="58"/>
      <c r="D41" s="58">
        <f>SUM(D35:D39)</f>
        <v>650</v>
      </c>
      <c r="E41" s="58">
        <f t="shared" ref="E41:K41" si="4">SUM(E35:E39)</f>
        <v>600</v>
      </c>
      <c r="F41" s="58">
        <f>SUM(F35:F39)</f>
        <v>150</v>
      </c>
      <c r="G41" s="58">
        <f>SUM(G35:G39)</f>
        <v>100</v>
      </c>
      <c r="H41" s="58">
        <f>SUM(H35:H39)</f>
        <v>650</v>
      </c>
      <c r="I41" s="58">
        <f t="shared" si="4"/>
        <v>450</v>
      </c>
      <c r="J41" s="58">
        <f t="shared" si="4"/>
        <v>50</v>
      </c>
      <c r="K41" s="58">
        <f t="shared" si="4"/>
        <v>20</v>
      </c>
    </row>
    <row r="42" spans="1:11" s="7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11" ht="33.75" customHeight="1" x14ac:dyDescent="0.25">
      <c r="A44" s="105" t="s">
        <v>20</v>
      </c>
      <c r="B44" s="106"/>
      <c r="C44" s="107"/>
      <c r="D44" s="46" t="s">
        <v>6</v>
      </c>
      <c r="E44" s="46" t="s">
        <v>25</v>
      </c>
      <c r="F44" s="46" t="s">
        <v>32</v>
      </c>
      <c r="G44" s="46" t="s">
        <v>31</v>
      </c>
      <c r="H44" s="46" t="s">
        <v>54</v>
      </c>
      <c r="I44" s="46" t="s">
        <v>38</v>
      </c>
      <c r="J44" s="46" t="s">
        <v>34</v>
      </c>
      <c r="K44" s="46" t="s">
        <v>68</v>
      </c>
    </row>
    <row r="45" spans="1:11" x14ac:dyDescent="0.25">
      <c r="A45" s="24" t="s">
        <v>28</v>
      </c>
      <c r="B45" s="64">
        <v>17</v>
      </c>
      <c r="C45" s="24" t="s">
        <v>24</v>
      </c>
      <c r="D45" s="24"/>
      <c r="E45" s="24"/>
      <c r="F45" s="26"/>
      <c r="G45" s="25">
        <f>B3/3.6*B45/100</f>
        <v>1416.666666666667</v>
      </c>
      <c r="H45" s="24"/>
      <c r="I45" s="24"/>
      <c r="J45" s="27"/>
      <c r="K45" s="24"/>
    </row>
    <row r="46" spans="1:11" x14ac:dyDescent="0.25">
      <c r="A46" s="24" t="s">
        <v>25</v>
      </c>
      <c r="B46" s="64">
        <v>8.8000000000000007</v>
      </c>
      <c r="C46" s="24" t="s">
        <v>24</v>
      </c>
      <c r="D46" s="24"/>
      <c r="E46" s="25">
        <f>B5*B46/100+200</f>
        <v>2840</v>
      </c>
      <c r="F46" s="26"/>
      <c r="G46" s="24"/>
      <c r="H46" s="24"/>
      <c r="I46" s="24"/>
      <c r="J46" s="27"/>
      <c r="K46" s="24"/>
    </row>
    <row r="47" spans="1:11" x14ac:dyDescent="0.25">
      <c r="A47" s="24" t="s">
        <v>5</v>
      </c>
      <c r="B47" s="64">
        <v>365</v>
      </c>
      <c r="C47" s="24" t="s">
        <v>16</v>
      </c>
      <c r="D47" s="24"/>
      <c r="E47" s="24"/>
      <c r="F47" s="26"/>
      <c r="G47" s="24"/>
      <c r="H47" s="24">
        <f>B6*B47</f>
        <v>2190</v>
      </c>
      <c r="I47" s="24"/>
      <c r="J47" s="27"/>
      <c r="K47" s="24"/>
    </row>
    <row r="48" spans="1:11" x14ac:dyDescent="0.25">
      <c r="A48" s="24" t="s">
        <v>27</v>
      </c>
      <c r="B48" s="64">
        <v>17</v>
      </c>
      <c r="C48" s="24" t="s">
        <v>24</v>
      </c>
      <c r="D48" s="25"/>
      <c r="E48" s="24"/>
      <c r="F48" s="77">
        <f>B3/2.6*B48/100</f>
        <v>1961.5384615384612</v>
      </c>
      <c r="G48" s="24"/>
      <c r="H48" s="24"/>
      <c r="I48" s="24"/>
      <c r="J48" s="27"/>
      <c r="K48" s="24"/>
    </row>
    <row r="49" spans="1:11" x14ac:dyDescent="0.25">
      <c r="A49" s="24" t="s">
        <v>14</v>
      </c>
      <c r="B49" s="64">
        <v>95</v>
      </c>
      <c r="C49" s="24" t="s">
        <v>40</v>
      </c>
      <c r="D49" s="24">
        <f>B8*B49/100</f>
        <v>2850</v>
      </c>
      <c r="E49" s="24"/>
      <c r="F49" s="26"/>
      <c r="G49" s="24"/>
      <c r="H49" s="24"/>
      <c r="I49" s="25"/>
      <c r="J49" s="27"/>
      <c r="K49" s="24"/>
    </row>
    <row r="50" spans="1:11" x14ac:dyDescent="0.25">
      <c r="A50" s="24" t="s">
        <v>38</v>
      </c>
      <c r="B50" s="64">
        <v>150</v>
      </c>
      <c r="C50" s="24" t="s">
        <v>39</v>
      </c>
      <c r="D50" s="24"/>
      <c r="E50" s="24"/>
      <c r="F50" s="26"/>
      <c r="G50" s="24"/>
      <c r="H50" s="24"/>
      <c r="I50" s="25">
        <f>B50*B9</f>
        <v>2250</v>
      </c>
      <c r="J50" s="27"/>
      <c r="K50" s="24"/>
    </row>
    <row r="51" spans="1:11" x14ac:dyDescent="0.25">
      <c r="A51" s="24" t="s">
        <v>34</v>
      </c>
      <c r="B51" s="64">
        <v>13</v>
      </c>
      <c r="C51" s="24" t="s">
        <v>24</v>
      </c>
      <c r="D51" s="24"/>
      <c r="E51" s="24"/>
      <c r="F51" s="25"/>
      <c r="G51" s="24"/>
      <c r="H51" s="24"/>
      <c r="I51" s="25"/>
      <c r="J51" s="27">
        <f>B10*B51/100</f>
        <v>3510</v>
      </c>
      <c r="K51" s="24"/>
    </row>
    <row r="52" spans="1:11" x14ac:dyDescent="0.25">
      <c r="A52" s="102" t="s">
        <v>15</v>
      </c>
      <c r="B52" s="103"/>
      <c r="C52" s="104"/>
      <c r="D52" s="24">
        <v>40</v>
      </c>
      <c r="E52" s="24">
        <v>40</v>
      </c>
      <c r="F52" s="24">
        <v>30</v>
      </c>
      <c r="G52" s="24">
        <v>30</v>
      </c>
      <c r="H52" s="24">
        <v>40</v>
      </c>
      <c r="I52" s="24">
        <v>40</v>
      </c>
      <c r="J52" s="24">
        <v>30</v>
      </c>
      <c r="K52" s="24">
        <v>20</v>
      </c>
    </row>
    <row r="53" spans="1:11" ht="5.25" customHeight="1" x14ac:dyDescent="0.25">
      <c r="A53" s="114"/>
      <c r="B53" s="115"/>
      <c r="C53" s="116"/>
      <c r="D53" s="28"/>
      <c r="E53" s="28"/>
      <c r="F53" s="28"/>
      <c r="G53" s="28"/>
      <c r="H53" s="28"/>
      <c r="I53" s="28"/>
      <c r="J53" s="28"/>
      <c r="K53" s="29"/>
    </row>
    <row r="54" spans="1:11" s="60" customFormat="1" x14ac:dyDescent="0.25">
      <c r="A54" s="99" t="s">
        <v>18</v>
      </c>
      <c r="B54" s="100"/>
      <c r="C54" s="101"/>
      <c r="D54" s="62">
        <f>SUM(D45:D52)</f>
        <v>2890</v>
      </c>
      <c r="E54" s="62">
        <f t="shared" ref="E54:J54" si="5">SUM(E45:E52)</f>
        <v>2880</v>
      </c>
      <c r="F54" s="78">
        <f>SUM(F45:F52)</f>
        <v>1991.5384615384612</v>
      </c>
      <c r="G54" s="78">
        <f>SUM(G45:G52)</f>
        <v>1446.666666666667</v>
      </c>
      <c r="H54" s="62">
        <f>SUM(H45:H52)</f>
        <v>2230</v>
      </c>
      <c r="I54" s="62">
        <f t="shared" si="5"/>
        <v>2290</v>
      </c>
      <c r="J54" s="62">
        <f t="shared" si="5"/>
        <v>3540</v>
      </c>
      <c r="K54" s="62">
        <v>20</v>
      </c>
    </row>
    <row r="55" spans="1:11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K55" s="3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30.6" x14ac:dyDescent="0.25">
      <c r="A57" s="108" t="s">
        <v>84</v>
      </c>
      <c r="B57" s="109"/>
      <c r="C57" s="110"/>
      <c r="D57" s="45" t="s">
        <v>6</v>
      </c>
      <c r="E57" s="45" t="s">
        <v>25</v>
      </c>
      <c r="F57" s="45" t="s">
        <v>32</v>
      </c>
      <c r="G57" s="45" t="s">
        <v>31</v>
      </c>
      <c r="H57" s="45" t="s">
        <v>54</v>
      </c>
      <c r="I57" s="45" t="s">
        <v>38</v>
      </c>
      <c r="J57" s="45" t="s">
        <v>34</v>
      </c>
      <c r="K57" s="45" t="s">
        <v>68</v>
      </c>
    </row>
    <row r="58" spans="1:11" x14ac:dyDescent="0.25">
      <c r="A58" s="96" t="s">
        <v>76</v>
      </c>
      <c r="B58" s="30" t="s">
        <v>64</v>
      </c>
      <c r="C58" s="30"/>
      <c r="D58" s="30">
        <v>20</v>
      </c>
      <c r="E58" s="30">
        <v>20</v>
      </c>
      <c r="F58" s="30">
        <v>20</v>
      </c>
      <c r="G58" s="30">
        <v>25</v>
      </c>
      <c r="H58" s="30">
        <v>20</v>
      </c>
      <c r="I58" s="30">
        <v>20</v>
      </c>
      <c r="J58" s="31">
        <v>30</v>
      </c>
      <c r="K58" s="30">
        <v>25</v>
      </c>
    </row>
    <row r="59" spans="1:11" x14ac:dyDescent="0.25">
      <c r="A59" s="96"/>
      <c r="B59" s="97" t="s">
        <v>62</v>
      </c>
      <c r="C59" s="98"/>
      <c r="D59" s="32">
        <v>6.7000000000000004E-2</v>
      </c>
      <c r="E59" s="32">
        <v>6.7000000000000004E-2</v>
      </c>
      <c r="F59" s="32">
        <v>6.7000000000000004E-2</v>
      </c>
      <c r="G59" s="32">
        <v>5.7500000000000002E-2</v>
      </c>
      <c r="H59" s="32">
        <v>6.7000000000000004E-2</v>
      </c>
      <c r="I59" s="32">
        <v>6.7000000000000004E-2</v>
      </c>
      <c r="J59" s="33">
        <v>5.0999999999999997E-2</v>
      </c>
      <c r="K59" s="32">
        <v>5.7500000000000002E-2</v>
      </c>
    </row>
    <row r="60" spans="1:11" x14ac:dyDescent="0.25">
      <c r="A60" s="96"/>
      <c r="B60" s="97" t="s">
        <v>63</v>
      </c>
      <c r="C60" s="98"/>
      <c r="D60" s="34">
        <f>0.067*(D28-D32)</f>
        <v>1407</v>
      </c>
      <c r="E60" s="34">
        <f t="shared" ref="E60:K60" si="6">0.067*(E28-E32)</f>
        <v>1547.7</v>
      </c>
      <c r="F60" s="34">
        <f>0.067*(F28-F32)</f>
        <v>1913.5200000000002</v>
      </c>
      <c r="G60" s="34">
        <f>0.057*(G28-G32)</f>
        <v>2666.9160000000002</v>
      </c>
      <c r="H60" s="34">
        <f t="shared" si="6"/>
        <v>1829.1000000000001</v>
      </c>
      <c r="I60" s="34">
        <f t="shared" si="6"/>
        <v>1603.98</v>
      </c>
      <c r="J60" s="34">
        <f>0.051*(J28-J32)</f>
        <v>664.02</v>
      </c>
      <c r="K60" s="34">
        <f t="shared" si="6"/>
        <v>900.48</v>
      </c>
    </row>
    <row r="61" spans="1:11" x14ac:dyDescent="0.25">
      <c r="A61" s="30" t="s">
        <v>19</v>
      </c>
      <c r="B61" s="30"/>
      <c r="C61" s="30"/>
      <c r="D61" s="30">
        <f>D41</f>
        <v>650</v>
      </c>
      <c r="E61" s="30">
        <f>E41</f>
        <v>600</v>
      </c>
      <c r="F61" s="30">
        <f>F41</f>
        <v>150</v>
      </c>
      <c r="G61" s="30">
        <f>G41</f>
        <v>100</v>
      </c>
      <c r="H61" s="30">
        <f>H41</f>
        <v>650</v>
      </c>
      <c r="I61" s="30">
        <f t="shared" ref="I61:K61" si="7">I41</f>
        <v>450</v>
      </c>
      <c r="J61" s="30">
        <f t="shared" si="7"/>
        <v>50</v>
      </c>
      <c r="K61" s="30">
        <f t="shared" si="7"/>
        <v>20</v>
      </c>
    </row>
    <row r="62" spans="1:11" x14ac:dyDescent="0.25">
      <c r="A62" s="30" t="s">
        <v>69</v>
      </c>
      <c r="B62" s="30"/>
      <c r="C62" s="30"/>
      <c r="D62" s="34">
        <f>D54</f>
        <v>2890</v>
      </c>
      <c r="E62" s="34">
        <f t="shared" ref="E62:K62" si="8">E54</f>
        <v>2880</v>
      </c>
      <c r="F62" s="34">
        <f>F54</f>
        <v>1991.5384615384612</v>
      </c>
      <c r="G62" s="34">
        <f>G54</f>
        <v>1446.666666666667</v>
      </c>
      <c r="H62" s="34">
        <f>H54</f>
        <v>2230</v>
      </c>
      <c r="I62" s="34">
        <f t="shared" si="8"/>
        <v>2290</v>
      </c>
      <c r="J62" s="34">
        <f t="shared" si="8"/>
        <v>3540</v>
      </c>
      <c r="K62" s="34">
        <f t="shared" si="8"/>
        <v>20</v>
      </c>
    </row>
    <row r="63" spans="1:11" x14ac:dyDescent="0.25">
      <c r="A63" s="30" t="s">
        <v>89</v>
      </c>
      <c r="B63" s="64">
        <v>24</v>
      </c>
      <c r="C63" s="30" t="s">
        <v>91</v>
      </c>
      <c r="D63" s="34">
        <f>B3*0.2/1000*B63</f>
        <v>144</v>
      </c>
      <c r="E63" s="34">
        <f>B3*0.2/1000*B63</f>
        <v>144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0">
        <v>0</v>
      </c>
    </row>
    <row r="64" spans="1:11" ht="4.5" customHeight="1" x14ac:dyDescent="0.25">
      <c r="A64" s="30"/>
      <c r="B64" s="30"/>
      <c r="C64" s="30"/>
      <c r="D64" s="30"/>
      <c r="E64" s="30"/>
      <c r="F64" s="35"/>
      <c r="G64" s="30"/>
      <c r="H64" s="30"/>
      <c r="I64" s="30"/>
      <c r="J64" s="31"/>
      <c r="K64" s="34"/>
    </row>
    <row r="65" spans="1:11" x14ac:dyDescent="0.25">
      <c r="A65" s="36" t="s">
        <v>66</v>
      </c>
      <c r="B65" s="36"/>
      <c r="C65" s="36"/>
      <c r="D65" s="37">
        <f t="shared" ref="D65:K65" si="9">SUM(D60:D62)</f>
        <v>4947</v>
      </c>
      <c r="E65" s="37">
        <f t="shared" si="9"/>
        <v>5027.7</v>
      </c>
      <c r="F65" s="37">
        <f t="shared" si="9"/>
        <v>4055.0584615384614</v>
      </c>
      <c r="G65" s="37">
        <f t="shared" si="9"/>
        <v>4213.5826666666671</v>
      </c>
      <c r="H65" s="37">
        <f t="shared" si="9"/>
        <v>4709.1000000000004</v>
      </c>
      <c r="I65" s="37">
        <f t="shared" si="9"/>
        <v>4343.9799999999996</v>
      </c>
      <c r="J65" s="37">
        <f t="shared" si="9"/>
        <v>4254.0200000000004</v>
      </c>
      <c r="K65" s="37">
        <f t="shared" si="9"/>
        <v>940.48</v>
      </c>
    </row>
    <row r="66" spans="1:11" ht="4.5" customHeight="1" x14ac:dyDescent="0.25">
      <c r="A66" s="30"/>
      <c r="B66" s="30"/>
      <c r="C66" s="30"/>
      <c r="D66" s="30"/>
      <c r="E66" s="30"/>
      <c r="F66" s="35"/>
      <c r="G66" s="30"/>
      <c r="H66" s="30"/>
      <c r="I66" s="30"/>
      <c r="J66" s="31"/>
      <c r="K66" s="30"/>
    </row>
    <row r="67" spans="1:11" x14ac:dyDescent="0.25">
      <c r="A67" s="36" t="s">
        <v>22</v>
      </c>
      <c r="B67" s="36"/>
      <c r="C67" s="36"/>
      <c r="D67" s="36">
        <f>ROUND(D65/$B$3*100,1)</f>
        <v>16.5</v>
      </c>
      <c r="E67" s="36">
        <f t="shared" ref="E67:J67" si="10">ROUND(E65/$B$3*100,1)</f>
        <v>16.8</v>
      </c>
      <c r="F67" s="36">
        <f>ROUND(F65/$B$3*100,1)</f>
        <v>13.5</v>
      </c>
      <c r="G67" s="36">
        <f>ROUND(G65/$B$3*100,1)</f>
        <v>14</v>
      </c>
      <c r="H67" s="36">
        <f>ROUND(H65/$B$3*100,1)</f>
        <v>15.7</v>
      </c>
      <c r="I67" s="36">
        <f t="shared" si="10"/>
        <v>14.5</v>
      </c>
      <c r="J67" s="36">
        <f t="shared" si="10"/>
        <v>14.2</v>
      </c>
      <c r="K67" s="36">
        <f>ROUND(K65/2500*100,1)</f>
        <v>37.6</v>
      </c>
    </row>
    <row r="70" spans="1:11" ht="30.6" x14ac:dyDescent="0.25">
      <c r="A70" s="87" t="s">
        <v>73</v>
      </c>
      <c r="B70" s="88"/>
      <c r="C70" s="89"/>
      <c r="D70" s="72" t="s">
        <v>6</v>
      </c>
      <c r="E70" s="72" t="s">
        <v>25</v>
      </c>
      <c r="F70" s="72" t="s">
        <v>97</v>
      </c>
      <c r="G70" s="72" t="s">
        <v>96</v>
      </c>
      <c r="H70" s="72" t="s">
        <v>5</v>
      </c>
      <c r="I70" s="72" t="s">
        <v>38</v>
      </c>
      <c r="J70" s="72" t="s">
        <v>34</v>
      </c>
      <c r="K70" s="72" t="s">
        <v>37</v>
      </c>
    </row>
    <row r="71" spans="1:11" s="9" customFormat="1" x14ac:dyDescent="0.25">
      <c r="A71" s="75" t="s">
        <v>74</v>
      </c>
      <c r="B71" s="75" t="s">
        <v>75</v>
      </c>
      <c r="C71" s="75"/>
      <c r="D71" s="76">
        <f>B8*2.977/1000</f>
        <v>8.9309999999999992</v>
      </c>
      <c r="E71" s="76">
        <f>B5*0.2279/1000</f>
        <v>6.8369999999999997</v>
      </c>
      <c r="F71" s="76">
        <f>B7*0.102/1000</f>
        <v>1.1769230769230767</v>
      </c>
      <c r="G71" s="76">
        <f>B4*0.102/1000</f>
        <v>0.85</v>
      </c>
      <c r="H71" s="76">
        <f>B6*0.0344</f>
        <v>0.2064</v>
      </c>
      <c r="I71" s="76">
        <f>B3/1790*0.011</f>
        <v>0.18435754189944131</v>
      </c>
      <c r="J71" s="76">
        <f>B3/5000*0.023</f>
        <v>0.13800000000000001</v>
      </c>
      <c r="K71" s="75"/>
    </row>
    <row r="72" spans="1:11" ht="13.2" x14ac:dyDescent="0.25">
      <c r="A72" s="82" t="s">
        <v>80</v>
      </c>
      <c r="B72" s="82" t="s">
        <v>83</v>
      </c>
      <c r="C72" s="79"/>
      <c r="D72" s="79"/>
      <c r="E72" s="80">
        <f>D71-E71</f>
        <v>2.0939999999999994</v>
      </c>
      <c r="F72" s="80">
        <f>D71-F71</f>
        <v>7.7540769230769229</v>
      </c>
      <c r="G72" s="80">
        <f>D71-G71</f>
        <v>8.0809999999999995</v>
      </c>
      <c r="H72" s="80">
        <f>D71-H71</f>
        <v>8.7245999999999988</v>
      </c>
      <c r="I72" s="80">
        <f>D71-I71</f>
        <v>8.746642458100558</v>
      </c>
      <c r="J72" s="80">
        <f>D71-J71</f>
        <v>8.7929999999999993</v>
      </c>
      <c r="K72" s="79"/>
    </row>
    <row r="73" spans="1:11" ht="13.2" x14ac:dyDescent="0.25">
      <c r="A73" s="82" t="s">
        <v>80</v>
      </c>
      <c r="B73" s="82" t="s">
        <v>81</v>
      </c>
      <c r="C73" s="79"/>
      <c r="D73" s="79"/>
      <c r="E73" s="81">
        <f>E72/D71</f>
        <v>0.23446422573060124</v>
      </c>
      <c r="F73" s="81">
        <f>F72/D71</f>
        <v>0.86822045941965331</v>
      </c>
      <c r="G73" s="81">
        <f>G72/D71</f>
        <v>0.90482588735863845</v>
      </c>
      <c r="H73" s="81">
        <f>H72/D71</f>
        <v>0.97688948605979165</v>
      </c>
      <c r="I73" s="81">
        <f>I72/D71</f>
        <v>0.97935757004820945</v>
      </c>
      <c r="J73" s="81">
        <f>J72/D71</f>
        <v>0.98454820288881428</v>
      </c>
      <c r="K73" s="79"/>
    </row>
    <row r="74" spans="1:11" x14ac:dyDescent="0.25">
      <c r="A74" t="s">
        <v>98</v>
      </c>
    </row>
  </sheetData>
  <mergeCells count="13">
    <mergeCell ref="A70:C70"/>
    <mergeCell ref="A58:A60"/>
    <mergeCell ref="B59:C59"/>
    <mergeCell ref="B60:C60"/>
    <mergeCell ref="A54:C54"/>
    <mergeCell ref="A57:C57"/>
    <mergeCell ref="A53:C53"/>
    <mergeCell ref="A12:C12"/>
    <mergeCell ref="A28:C28"/>
    <mergeCell ref="A34:C34"/>
    <mergeCell ref="A44:C44"/>
    <mergeCell ref="A52:C52"/>
    <mergeCell ref="A31:C31"/>
  </mergeCells>
  <phoneticPr fontId="0" type="noConversion"/>
  <pageMargins left="0.2" right="0.11" top="0.59" bottom="0.69" header="0.4921259845" footer="0.4921259845"/>
  <pageSetup paperSize="9" scale="84" orientation="landscape" verticalDpi="300" r:id="rId1"/>
  <headerFooter alignWithMargins="0">
    <oddFooter>&amp;CVersion Jan. 2019</oddFooter>
  </headerFooter>
  <rowBreaks count="4" manualBreakCount="4">
    <brk id="42" max="11" man="1"/>
    <brk id="75" max="11" man="1"/>
    <brk id="106" max="11" man="1"/>
    <brk id="1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0" zoomScaleNormal="90" workbookViewId="0">
      <selection activeCell="B4" sqref="B4"/>
    </sheetView>
  </sheetViews>
  <sheetFormatPr baseColWidth="10" defaultRowHeight="13.8" x14ac:dyDescent="0.25"/>
  <cols>
    <col min="1" max="1" width="26.44140625" customWidth="1"/>
    <col min="3" max="3" width="21.5546875" customWidth="1"/>
    <col min="4" max="4" width="10.109375" customWidth="1"/>
    <col min="5" max="5" width="10" customWidth="1"/>
    <col min="6" max="6" width="10.44140625" customWidth="1"/>
    <col min="7" max="7" width="11" customWidth="1"/>
    <col min="8" max="8" width="10" customWidth="1"/>
    <col min="9" max="9" width="11.5546875" style="12" customWidth="1"/>
    <col min="10" max="10" width="10" customWidth="1"/>
    <col min="11" max="11" width="4.6640625" customWidth="1"/>
  </cols>
  <sheetData>
    <row r="1" spans="1:10" ht="17.399999999999999" x14ac:dyDescent="0.3">
      <c r="A1" s="2" t="s">
        <v>102</v>
      </c>
      <c r="C1" s="15"/>
      <c r="D1" s="15" t="s">
        <v>104</v>
      </c>
      <c r="E1" s="15"/>
    </row>
    <row r="2" spans="1:10" ht="5.85" customHeight="1" x14ac:dyDescent="0.25"/>
    <row r="3" spans="1:10" x14ac:dyDescent="0.25">
      <c r="A3" s="3" t="s">
        <v>0</v>
      </c>
      <c r="B3" s="4">
        <v>60000</v>
      </c>
      <c r="C3" s="3" t="s">
        <v>1</v>
      </c>
      <c r="D3" s="3"/>
      <c r="E3" s="3"/>
      <c r="F3" s="3"/>
      <c r="G3" s="14" t="s">
        <v>23</v>
      </c>
      <c r="H3" s="18">
        <v>620</v>
      </c>
      <c r="I3" s="3" t="s">
        <v>21</v>
      </c>
    </row>
    <row r="4" spans="1:10" x14ac:dyDescent="0.25">
      <c r="A4" s="3" t="s">
        <v>33</v>
      </c>
      <c r="B4" s="10">
        <f>B3/3.6</f>
        <v>16666.666666666668</v>
      </c>
      <c r="C4" s="3" t="s">
        <v>29</v>
      </c>
      <c r="D4" s="3"/>
      <c r="E4" s="3"/>
      <c r="F4" s="3"/>
      <c r="G4" s="14" t="s">
        <v>44</v>
      </c>
      <c r="H4" s="7">
        <f>(3/4*B3/70)</f>
        <v>642.85714285714289</v>
      </c>
      <c r="I4" s="3" t="s">
        <v>51</v>
      </c>
      <c r="J4" s="3"/>
    </row>
    <row r="5" spans="1:10" x14ac:dyDescent="0.25">
      <c r="A5" s="3"/>
      <c r="B5" s="5">
        <f>B3/1</f>
        <v>60000</v>
      </c>
      <c r="C5" s="3" t="s">
        <v>93</v>
      </c>
      <c r="D5" s="3"/>
      <c r="E5" s="3"/>
      <c r="F5" s="3"/>
      <c r="G5" s="14" t="s">
        <v>45</v>
      </c>
      <c r="H5" s="7">
        <f>B3/H3</f>
        <v>96.774193548387103</v>
      </c>
      <c r="I5" s="3" t="s">
        <v>26</v>
      </c>
    </row>
    <row r="6" spans="1:10" x14ac:dyDescent="0.25">
      <c r="A6" s="3"/>
      <c r="B6" s="6">
        <f>B3/5000</f>
        <v>12</v>
      </c>
      <c r="C6" s="3" t="s">
        <v>3</v>
      </c>
      <c r="D6" s="3"/>
      <c r="E6" s="3"/>
      <c r="F6" s="3"/>
      <c r="G6" s="3"/>
      <c r="H6" s="3"/>
      <c r="J6" s="3"/>
    </row>
    <row r="7" spans="1:10" x14ac:dyDescent="0.25">
      <c r="A7" s="3"/>
      <c r="B7" s="5">
        <f>B3/2.6</f>
        <v>23076.923076923074</v>
      </c>
      <c r="C7" s="3" t="s">
        <v>30</v>
      </c>
      <c r="D7" s="3"/>
      <c r="E7" s="3"/>
      <c r="F7" s="3"/>
      <c r="G7" s="3"/>
      <c r="H7" s="3"/>
      <c r="J7" s="3"/>
    </row>
    <row r="8" spans="1:10" x14ac:dyDescent="0.25">
      <c r="A8" s="3"/>
      <c r="B8" s="5">
        <f>B3/10</f>
        <v>6000</v>
      </c>
      <c r="C8" s="3" t="s">
        <v>2</v>
      </c>
      <c r="D8" s="3"/>
      <c r="E8" s="3"/>
      <c r="F8" s="3"/>
      <c r="G8" s="3" t="s">
        <v>79</v>
      </c>
      <c r="H8" s="3"/>
      <c r="J8" s="3"/>
    </row>
    <row r="9" spans="1:10" x14ac:dyDescent="0.25">
      <c r="A9" s="3"/>
      <c r="B9" s="5">
        <f>B3*0.9</f>
        <v>54000</v>
      </c>
      <c r="C9" s="3" t="s">
        <v>35</v>
      </c>
      <c r="D9" s="3"/>
      <c r="E9" s="3"/>
      <c r="F9" s="3"/>
      <c r="G9" s="3"/>
      <c r="H9" s="3"/>
      <c r="J9" s="3"/>
    </row>
    <row r="10" spans="1:10" x14ac:dyDescent="0.25">
      <c r="A10" s="3"/>
      <c r="B10" s="5"/>
      <c r="C10" s="3"/>
      <c r="D10" s="3"/>
      <c r="E10" s="3"/>
      <c r="F10" s="3"/>
      <c r="G10" s="3"/>
      <c r="H10" s="3"/>
      <c r="J10" s="3"/>
    </row>
    <row r="11" spans="1:10" ht="33.75" customHeight="1" x14ac:dyDescent="0.25">
      <c r="A11" s="93" t="s">
        <v>4</v>
      </c>
      <c r="B11" s="94"/>
      <c r="C11" s="95"/>
      <c r="D11" s="50" t="s">
        <v>6</v>
      </c>
      <c r="E11" s="50" t="s">
        <v>25</v>
      </c>
      <c r="F11" s="50" t="s">
        <v>32</v>
      </c>
      <c r="G11" s="50" t="s">
        <v>31</v>
      </c>
      <c r="H11" s="50" t="s">
        <v>5</v>
      </c>
      <c r="I11" s="50" t="s">
        <v>34</v>
      </c>
      <c r="J11" s="50" t="s">
        <v>68</v>
      </c>
    </row>
    <row r="12" spans="1:10" x14ac:dyDescent="0.25">
      <c r="A12" s="43" t="s">
        <v>53</v>
      </c>
      <c r="B12" s="43"/>
      <c r="C12" s="43"/>
      <c r="D12" s="43">
        <v>0</v>
      </c>
      <c r="E12" s="43">
        <v>4000</v>
      </c>
      <c r="F12" s="43">
        <v>0</v>
      </c>
      <c r="G12" s="43">
        <v>0</v>
      </c>
      <c r="H12" s="43">
        <v>10000</v>
      </c>
      <c r="I12" s="43">
        <v>10000</v>
      </c>
      <c r="J12" s="43"/>
    </row>
    <row r="13" spans="1:10" x14ac:dyDescent="0.25">
      <c r="A13" s="43" t="s">
        <v>47</v>
      </c>
      <c r="B13" s="43"/>
      <c r="C13" s="43"/>
      <c r="D13" s="43">
        <v>3500</v>
      </c>
      <c r="E13" s="43">
        <v>3500</v>
      </c>
      <c r="F13" s="43">
        <v>3500</v>
      </c>
      <c r="G13" s="43">
        <v>3500</v>
      </c>
      <c r="H13" s="43">
        <v>3500</v>
      </c>
      <c r="I13" s="43">
        <v>3500</v>
      </c>
      <c r="J13" s="43"/>
    </row>
    <row r="14" spans="1:10" x14ac:dyDescent="0.25">
      <c r="A14" s="43" t="s">
        <v>55</v>
      </c>
      <c r="B14" s="43"/>
      <c r="C14" s="43"/>
      <c r="D14" s="43">
        <v>11000</v>
      </c>
      <c r="E14" s="43">
        <v>10000</v>
      </c>
      <c r="F14" s="43">
        <v>38000</v>
      </c>
      <c r="G14" s="43">
        <v>22000</v>
      </c>
      <c r="H14" s="43">
        <v>19000</v>
      </c>
      <c r="I14" s="43">
        <v>8000</v>
      </c>
      <c r="J14" s="43">
        <v>25000</v>
      </c>
    </row>
    <row r="15" spans="1:10" x14ac:dyDescent="0.25">
      <c r="A15" s="43" t="s">
        <v>52</v>
      </c>
      <c r="B15" s="43"/>
      <c r="C15" s="43"/>
      <c r="D15" s="43">
        <v>0</v>
      </c>
      <c r="E15" s="43">
        <v>0</v>
      </c>
      <c r="F15" s="43">
        <v>0</v>
      </c>
      <c r="G15" s="43">
        <f>ROUND(H4/10,0)*800</f>
        <v>51200</v>
      </c>
      <c r="H15" s="43">
        <v>0</v>
      </c>
      <c r="I15" s="43">
        <v>0</v>
      </c>
      <c r="J15" s="43"/>
    </row>
    <row r="16" spans="1:10" x14ac:dyDescent="0.25">
      <c r="A16" s="43" t="s">
        <v>49</v>
      </c>
      <c r="B16" s="43"/>
      <c r="C16" s="43"/>
      <c r="D16" s="43">
        <v>0</v>
      </c>
      <c r="E16" s="43">
        <v>0</v>
      </c>
      <c r="F16" s="43">
        <v>0</v>
      </c>
      <c r="G16" s="43">
        <v>0</v>
      </c>
      <c r="H16" s="43">
        <v>2000</v>
      </c>
      <c r="I16" s="43">
        <v>0</v>
      </c>
      <c r="J16" s="43"/>
    </row>
    <row r="17" spans="1:10" x14ac:dyDescent="0.25">
      <c r="A17" s="43" t="s">
        <v>50</v>
      </c>
      <c r="B17" s="43"/>
      <c r="C17" s="43"/>
      <c r="D17" s="43">
        <v>6000</v>
      </c>
      <c r="E17" s="43">
        <v>6000</v>
      </c>
      <c r="F17" s="43">
        <v>10000</v>
      </c>
      <c r="G17" s="43">
        <v>10000</v>
      </c>
      <c r="H17" s="43">
        <v>6000</v>
      </c>
      <c r="I17" s="43">
        <v>0</v>
      </c>
      <c r="J17" s="43"/>
    </row>
    <row r="18" spans="1:10" x14ac:dyDescent="0.25">
      <c r="A18" s="43" t="s">
        <v>46</v>
      </c>
      <c r="B18" s="43"/>
      <c r="C18" s="43"/>
      <c r="D18" s="43">
        <v>1000</v>
      </c>
      <c r="E18" s="43">
        <v>1000</v>
      </c>
      <c r="F18" s="43">
        <v>1000</v>
      </c>
      <c r="G18" s="43">
        <v>1000</v>
      </c>
      <c r="H18" s="43">
        <v>1000</v>
      </c>
      <c r="I18" s="43">
        <v>1000</v>
      </c>
      <c r="J18" s="43"/>
    </row>
    <row r="19" spans="1:10" x14ac:dyDescent="0.25">
      <c r="A19" s="43" t="s">
        <v>77</v>
      </c>
      <c r="B19" s="43"/>
      <c r="C19" s="43"/>
      <c r="D19" s="43">
        <v>3500</v>
      </c>
      <c r="E19" s="43">
        <v>3500</v>
      </c>
      <c r="F19" s="43">
        <v>0</v>
      </c>
      <c r="G19" s="43">
        <v>0</v>
      </c>
      <c r="H19" s="43">
        <v>1000</v>
      </c>
      <c r="I19" s="43">
        <v>0</v>
      </c>
      <c r="J19" s="43"/>
    </row>
    <row r="20" spans="1:10" x14ac:dyDescent="0.25">
      <c r="A20" s="43" t="s">
        <v>7</v>
      </c>
      <c r="B20" s="43"/>
      <c r="C20" s="43"/>
      <c r="D20" s="43">
        <v>4000</v>
      </c>
      <c r="E20" s="43">
        <v>2500</v>
      </c>
      <c r="F20" s="51">
        <v>3000</v>
      </c>
      <c r="G20" s="43">
        <v>3000</v>
      </c>
      <c r="H20" s="43">
        <v>4000</v>
      </c>
      <c r="I20" s="43">
        <v>3000</v>
      </c>
      <c r="J20" s="44"/>
    </row>
    <row r="21" spans="1:10" x14ac:dyDescent="0.25">
      <c r="A21" s="43" t="s">
        <v>8</v>
      </c>
      <c r="B21" s="43"/>
      <c r="C21" s="43"/>
      <c r="D21" s="43">
        <v>2000</v>
      </c>
      <c r="E21" s="43">
        <v>1500</v>
      </c>
      <c r="F21" s="43">
        <v>3000</v>
      </c>
      <c r="G21" s="43">
        <v>3000</v>
      </c>
      <c r="H21" s="43">
        <v>2000</v>
      </c>
      <c r="I21" s="43">
        <v>1000</v>
      </c>
      <c r="J21" s="43"/>
    </row>
    <row r="22" spans="1:10" ht="6.6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s="43" t="s">
        <v>13</v>
      </c>
      <c r="B23" s="43"/>
      <c r="C23" s="43"/>
      <c r="D23" s="43">
        <f t="shared" ref="D23:J23" si="0">SUM(D12:D21)</f>
        <v>31000</v>
      </c>
      <c r="E23" s="43">
        <f t="shared" si="0"/>
        <v>32000</v>
      </c>
      <c r="F23" s="43">
        <f t="shared" si="0"/>
        <v>58500</v>
      </c>
      <c r="G23" s="43">
        <f t="shared" si="0"/>
        <v>93700</v>
      </c>
      <c r="H23" s="43">
        <f t="shared" si="0"/>
        <v>48500</v>
      </c>
      <c r="I23" s="43">
        <f t="shared" si="0"/>
        <v>26500</v>
      </c>
      <c r="J23" s="43">
        <f t="shared" si="0"/>
        <v>25000</v>
      </c>
    </row>
    <row r="24" spans="1:10" x14ac:dyDescent="0.25">
      <c r="A24" s="43" t="s">
        <v>57</v>
      </c>
      <c r="B24" s="43"/>
      <c r="C24" s="43"/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/>
    </row>
    <row r="25" spans="1:10" s="23" customFormat="1" x14ac:dyDescent="0.25">
      <c r="A25" s="120" t="s">
        <v>56</v>
      </c>
      <c r="B25" s="121"/>
      <c r="C25" s="122"/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23" customFormat="1" ht="6.75" customHeight="1" x14ac:dyDescent="0.25">
      <c r="A26" s="68"/>
      <c r="B26" s="69"/>
      <c r="C26" s="70"/>
      <c r="D26" s="63"/>
      <c r="E26" s="63"/>
      <c r="F26" s="63"/>
      <c r="G26" s="63"/>
      <c r="H26" s="63"/>
      <c r="I26" s="63"/>
      <c r="J26" s="63"/>
    </row>
    <row r="27" spans="1:10" s="57" customFormat="1" ht="15.75" customHeight="1" x14ac:dyDescent="0.25">
      <c r="A27" s="117" t="s">
        <v>85</v>
      </c>
      <c r="B27" s="118"/>
      <c r="C27" s="119"/>
      <c r="D27" s="61">
        <f>D23-D24-D25</f>
        <v>31000</v>
      </c>
      <c r="E27" s="61">
        <f>E23-E24-E25</f>
        <v>32000</v>
      </c>
      <c r="F27" s="61">
        <f>F23-F24-F25</f>
        <v>58500</v>
      </c>
      <c r="G27" s="61">
        <f>G23-G24-G25</f>
        <v>93700</v>
      </c>
      <c r="H27" s="61">
        <f>H23-H24-H25</f>
        <v>48500</v>
      </c>
      <c r="I27" s="61">
        <f t="shared" ref="I27:J27" si="1">I23-I24-I25</f>
        <v>26500</v>
      </c>
      <c r="J27" s="61">
        <f t="shared" si="1"/>
        <v>25000</v>
      </c>
    </row>
    <row r="28" spans="1:10" s="57" customFormat="1" ht="15" customHeight="1" x14ac:dyDescent="0.25">
      <c r="A28" s="3" t="s">
        <v>87</v>
      </c>
      <c r="B28" s="3"/>
      <c r="C28" s="3"/>
      <c r="D28" s="3"/>
      <c r="E28" s="3"/>
      <c r="F28" s="3"/>
      <c r="G28" s="3"/>
      <c r="H28" s="3"/>
      <c r="I28" s="12"/>
      <c r="J28" s="3"/>
    </row>
    <row r="29" spans="1:10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6.5" customHeight="1" x14ac:dyDescent="0.25">
      <c r="A30" s="111" t="s">
        <v>94</v>
      </c>
      <c r="B30" s="112"/>
      <c r="C30" s="113"/>
      <c r="D30" s="83"/>
      <c r="E30" s="83"/>
      <c r="F30" s="83"/>
      <c r="G30" s="83"/>
      <c r="H30" s="83"/>
      <c r="I30" s="83"/>
      <c r="J30" s="83"/>
    </row>
    <row r="31" spans="1:10" ht="16.5" customHeight="1" x14ac:dyDescent="0.25">
      <c r="A31" s="83" t="s">
        <v>99</v>
      </c>
      <c r="B31" s="83"/>
      <c r="C31" s="83"/>
      <c r="D31" s="83">
        <f t="shared" ref="D31:I31" si="2">D27*0.16</f>
        <v>4960</v>
      </c>
      <c r="E31" s="83">
        <f t="shared" si="2"/>
        <v>5120</v>
      </c>
      <c r="F31" s="83">
        <f t="shared" si="2"/>
        <v>9360</v>
      </c>
      <c r="G31" s="83">
        <f t="shared" si="2"/>
        <v>14992</v>
      </c>
      <c r="H31" s="83">
        <f t="shared" si="2"/>
        <v>7760</v>
      </c>
      <c r="I31" s="83">
        <f t="shared" si="2"/>
        <v>4240</v>
      </c>
      <c r="J31" s="83">
        <f t="shared" ref="J31" si="3">J27*0.16</f>
        <v>4000</v>
      </c>
    </row>
    <row r="33" spans="1:10" ht="33.75" customHeight="1" x14ac:dyDescent="0.25">
      <c r="A33" s="123" t="s">
        <v>9</v>
      </c>
      <c r="B33" s="123"/>
      <c r="C33" s="123"/>
      <c r="D33" s="48" t="s">
        <v>6</v>
      </c>
      <c r="E33" s="48" t="s">
        <v>25</v>
      </c>
      <c r="F33" s="48" t="s">
        <v>32</v>
      </c>
      <c r="G33" s="48" t="s">
        <v>31</v>
      </c>
      <c r="H33" s="48" t="s">
        <v>5</v>
      </c>
      <c r="I33" s="48" t="s">
        <v>34</v>
      </c>
      <c r="J33" s="48" t="s">
        <v>68</v>
      </c>
    </row>
    <row r="34" spans="1:10" x14ac:dyDescent="0.25">
      <c r="A34" s="47" t="s">
        <v>10</v>
      </c>
      <c r="B34" s="47"/>
      <c r="C34" s="47"/>
      <c r="D34" s="47">
        <v>300</v>
      </c>
      <c r="E34" s="47">
        <v>200</v>
      </c>
      <c r="F34" s="47">
        <v>0</v>
      </c>
      <c r="G34" s="47">
        <v>0</v>
      </c>
      <c r="H34" s="47">
        <v>200</v>
      </c>
      <c r="I34" s="47">
        <v>0</v>
      </c>
      <c r="J34" s="49">
        <v>0</v>
      </c>
    </row>
    <row r="35" spans="1:10" x14ac:dyDescent="0.25">
      <c r="A35" s="47" t="s">
        <v>100</v>
      </c>
      <c r="B35" s="47"/>
      <c r="C35" s="47"/>
      <c r="D35" s="47"/>
      <c r="E35" s="47"/>
      <c r="F35" s="47"/>
      <c r="G35" s="47"/>
      <c r="H35" s="47">
        <v>100</v>
      </c>
      <c r="I35" s="47"/>
      <c r="J35" s="49"/>
    </row>
    <row r="36" spans="1:10" x14ac:dyDescent="0.25">
      <c r="A36" s="47" t="s">
        <v>72</v>
      </c>
      <c r="B36" s="47"/>
      <c r="C36" s="47"/>
      <c r="D36" s="47">
        <v>100</v>
      </c>
      <c r="E36" s="47">
        <v>250</v>
      </c>
      <c r="F36" s="47">
        <v>0</v>
      </c>
      <c r="G36" s="47">
        <v>0</v>
      </c>
      <c r="H36" s="47">
        <v>0</v>
      </c>
      <c r="I36" s="47">
        <v>0</v>
      </c>
      <c r="J36" s="49">
        <v>0</v>
      </c>
    </row>
    <row r="37" spans="1:10" x14ac:dyDescent="0.25">
      <c r="A37" s="47" t="s">
        <v>11</v>
      </c>
      <c r="B37" s="47"/>
      <c r="C37" s="47"/>
      <c r="D37" s="47">
        <v>50</v>
      </c>
      <c r="E37" s="47">
        <v>50</v>
      </c>
      <c r="F37" s="47">
        <v>0</v>
      </c>
      <c r="G37" s="47">
        <v>0</v>
      </c>
      <c r="H37" s="47">
        <v>50</v>
      </c>
      <c r="I37" s="47">
        <v>0</v>
      </c>
      <c r="J37" s="49">
        <v>0</v>
      </c>
    </row>
    <row r="38" spans="1:10" x14ac:dyDescent="0.25">
      <c r="A38" s="47" t="s">
        <v>71</v>
      </c>
      <c r="B38" s="47"/>
      <c r="C38" s="47"/>
      <c r="D38" s="47">
        <v>450</v>
      </c>
      <c r="E38" s="47">
        <v>250</v>
      </c>
      <c r="F38" s="47">
        <v>250</v>
      </c>
      <c r="G38" s="47">
        <v>150</v>
      </c>
      <c r="H38" s="47">
        <v>400</v>
      </c>
      <c r="I38" s="47">
        <v>50</v>
      </c>
      <c r="J38" s="47">
        <v>20</v>
      </c>
    </row>
    <row r="39" spans="1:10" ht="5.2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9"/>
    </row>
    <row r="40" spans="1:10" x14ac:dyDescent="0.25">
      <c r="A40" s="58" t="s">
        <v>12</v>
      </c>
      <c r="B40" s="58"/>
      <c r="C40" s="58"/>
      <c r="D40" s="58">
        <f>SUM(D34:D38)</f>
        <v>900</v>
      </c>
      <c r="E40" s="58">
        <f t="shared" ref="E40:J40" si="4">SUM(E34:E38)</f>
        <v>750</v>
      </c>
      <c r="F40" s="58">
        <f>SUM(F34:F38)</f>
        <v>250</v>
      </c>
      <c r="G40" s="58">
        <f>SUM(G34:G38)</f>
        <v>150</v>
      </c>
      <c r="H40" s="58">
        <f>SUM(H34:H38)</f>
        <v>750</v>
      </c>
      <c r="I40" s="58">
        <f t="shared" si="4"/>
        <v>50</v>
      </c>
      <c r="J40" s="58">
        <f t="shared" si="4"/>
        <v>20</v>
      </c>
    </row>
    <row r="41" spans="1:10" s="4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9.5" customHeight="1" x14ac:dyDescent="0.25">
      <c r="A42" s="3"/>
      <c r="B42" s="3"/>
      <c r="C42" s="3"/>
      <c r="D42" s="3"/>
      <c r="E42" s="3"/>
      <c r="F42" s="3"/>
      <c r="G42" s="3"/>
      <c r="H42" s="3"/>
      <c r="J42" s="3"/>
    </row>
    <row r="43" spans="1:10" ht="33.75" customHeight="1" x14ac:dyDescent="0.25">
      <c r="A43" s="105" t="s">
        <v>20</v>
      </c>
      <c r="B43" s="106"/>
      <c r="C43" s="107"/>
      <c r="D43" s="46" t="s">
        <v>6</v>
      </c>
      <c r="E43" s="46" t="s">
        <v>25</v>
      </c>
      <c r="F43" s="46" t="s">
        <v>32</v>
      </c>
      <c r="G43" s="46" t="s">
        <v>31</v>
      </c>
      <c r="H43" s="46" t="s">
        <v>5</v>
      </c>
      <c r="I43" s="46" t="s">
        <v>34</v>
      </c>
      <c r="J43" s="46" t="s">
        <v>68</v>
      </c>
    </row>
    <row r="44" spans="1:10" x14ac:dyDescent="0.25">
      <c r="A44" s="24" t="s">
        <v>28</v>
      </c>
      <c r="B44" s="64">
        <v>15</v>
      </c>
      <c r="C44" s="24" t="s">
        <v>24</v>
      </c>
      <c r="D44" s="24"/>
      <c r="E44" s="24"/>
      <c r="F44" s="26"/>
      <c r="G44" s="25">
        <f>B3/3.6*B44/100</f>
        <v>2500.0000000000005</v>
      </c>
      <c r="H44" s="24"/>
      <c r="I44" s="24"/>
      <c r="J44" s="27"/>
    </row>
    <row r="45" spans="1:10" x14ac:dyDescent="0.25">
      <c r="A45" s="24" t="s">
        <v>25</v>
      </c>
      <c r="B45" s="64">
        <v>8</v>
      </c>
      <c r="C45" s="24" t="s">
        <v>24</v>
      </c>
      <c r="D45" s="24"/>
      <c r="E45" s="25">
        <f>B5*B45/100+200</f>
        <v>5000</v>
      </c>
      <c r="F45" s="26"/>
      <c r="G45" s="24"/>
      <c r="H45" s="24"/>
      <c r="I45" s="24"/>
      <c r="J45" s="27"/>
    </row>
    <row r="46" spans="1:10" x14ac:dyDescent="0.25">
      <c r="A46" s="24" t="s">
        <v>5</v>
      </c>
      <c r="B46" s="64">
        <v>360</v>
      </c>
      <c r="C46" s="24" t="s">
        <v>16</v>
      </c>
      <c r="D46" s="24"/>
      <c r="E46" s="24"/>
      <c r="F46" s="26"/>
      <c r="G46" s="24"/>
      <c r="H46" s="24">
        <f>B6*B46</f>
        <v>4320</v>
      </c>
      <c r="I46" s="24"/>
      <c r="J46" s="27"/>
    </row>
    <row r="47" spans="1:10" x14ac:dyDescent="0.25">
      <c r="A47" s="24" t="s">
        <v>27</v>
      </c>
      <c r="B47" s="64">
        <v>15</v>
      </c>
      <c r="C47" s="24" t="s">
        <v>24</v>
      </c>
      <c r="D47" s="25"/>
      <c r="E47" s="24"/>
      <c r="F47" s="77">
        <f>B3/2.6*B47/100</f>
        <v>3461.5384615384614</v>
      </c>
      <c r="G47" s="24"/>
      <c r="H47" s="24"/>
      <c r="I47" s="24"/>
      <c r="J47" s="27"/>
    </row>
    <row r="48" spans="1:10" x14ac:dyDescent="0.25">
      <c r="A48" s="24" t="s">
        <v>14</v>
      </c>
      <c r="B48" s="64">
        <v>90</v>
      </c>
      <c r="C48" s="24" t="s">
        <v>17</v>
      </c>
      <c r="D48" s="24">
        <f>B8*B48/100</f>
        <v>5400</v>
      </c>
      <c r="E48" s="24"/>
      <c r="F48" s="26"/>
      <c r="G48" s="24"/>
      <c r="H48" s="24"/>
      <c r="I48" s="25"/>
      <c r="J48" s="27"/>
    </row>
    <row r="49" spans="1:10" x14ac:dyDescent="0.25">
      <c r="A49" s="24" t="s">
        <v>34</v>
      </c>
      <c r="B49" s="64">
        <v>12</v>
      </c>
      <c r="C49" s="24" t="s">
        <v>24</v>
      </c>
      <c r="D49" s="24"/>
      <c r="E49" s="24"/>
      <c r="F49" s="26"/>
      <c r="G49" s="24"/>
      <c r="H49" s="24"/>
      <c r="I49" s="25">
        <f>B9*B49/100</f>
        <v>6480</v>
      </c>
      <c r="J49" s="27"/>
    </row>
    <row r="50" spans="1:10" x14ac:dyDescent="0.25">
      <c r="A50" s="24" t="s">
        <v>15</v>
      </c>
      <c r="B50" s="24"/>
      <c r="C50" s="24"/>
      <c r="D50" s="24">
        <v>50</v>
      </c>
      <c r="E50" s="24">
        <v>40</v>
      </c>
      <c r="F50" s="25">
        <v>40</v>
      </c>
      <c r="G50" s="24">
        <v>40</v>
      </c>
      <c r="H50" s="24">
        <v>40</v>
      </c>
      <c r="I50" s="25">
        <v>40</v>
      </c>
      <c r="J50" s="27">
        <v>20</v>
      </c>
    </row>
    <row r="51" spans="1:10" ht="5.25" customHeight="1" x14ac:dyDescent="0.25">
      <c r="A51" s="102"/>
      <c r="B51" s="103"/>
      <c r="C51" s="104"/>
      <c r="D51" s="24"/>
      <c r="E51" s="24"/>
      <c r="F51" s="24"/>
      <c r="G51" s="24"/>
      <c r="H51" s="24"/>
      <c r="I51" s="24"/>
      <c r="J51" s="24"/>
    </row>
    <row r="52" spans="1:10" s="23" customFormat="1" x14ac:dyDescent="0.25">
      <c r="A52" s="99" t="s">
        <v>18</v>
      </c>
      <c r="B52" s="100"/>
      <c r="C52" s="101"/>
      <c r="D52" s="53">
        <f>SUM(D44:D50)</f>
        <v>5450</v>
      </c>
      <c r="E52" s="53">
        <f t="shared" ref="E52:I52" si="5">SUM(E44:E50)</f>
        <v>5040</v>
      </c>
      <c r="F52" s="53">
        <f>SUM(F44:F50)</f>
        <v>3501.5384615384614</v>
      </c>
      <c r="G52" s="53">
        <f>SUM(G44:G50)</f>
        <v>2540.0000000000005</v>
      </c>
      <c r="H52" s="53">
        <f>SUM(H44:H50)</f>
        <v>4360</v>
      </c>
      <c r="I52" s="53">
        <f t="shared" si="5"/>
        <v>6520</v>
      </c>
      <c r="J52" s="53">
        <v>20</v>
      </c>
    </row>
    <row r="53" spans="1:10" x14ac:dyDescent="0.25">
      <c r="A53" s="3"/>
      <c r="B53" s="3"/>
      <c r="C53" s="3"/>
      <c r="D53" s="3"/>
      <c r="E53" s="3"/>
      <c r="F53" s="3"/>
      <c r="G53" s="3"/>
      <c r="H53" s="3"/>
      <c r="J53" s="3"/>
    </row>
    <row r="55" spans="1:10" ht="30.6" x14ac:dyDescent="0.25">
      <c r="A55" s="108" t="s">
        <v>84</v>
      </c>
      <c r="B55" s="109"/>
      <c r="C55" s="110"/>
      <c r="D55" s="45" t="s">
        <v>6</v>
      </c>
      <c r="E55" s="45" t="s">
        <v>25</v>
      </c>
      <c r="F55" s="45" t="s">
        <v>32</v>
      </c>
      <c r="G55" s="45" t="s">
        <v>31</v>
      </c>
      <c r="H55" s="45" t="s">
        <v>5</v>
      </c>
      <c r="I55" s="45" t="s">
        <v>36</v>
      </c>
      <c r="J55" s="45" t="s">
        <v>37</v>
      </c>
    </row>
    <row r="56" spans="1:10" x14ac:dyDescent="0.25">
      <c r="A56" s="96" t="s">
        <v>76</v>
      </c>
      <c r="B56" s="30" t="s">
        <v>64</v>
      </c>
      <c r="C56" s="30"/>
      <c r="D56" s="30">
        <v>20</v>
      </c>
      <c r="E56" s="30">
        <v>20</v>
      </c>
      <c r="F56" s="30">
        <v>20</v>
      </c>
      <c r="G56" s="30">
        <v>30</v>
      </c>
      <c r="H56" s="30">
        <v>20</v>
      </c>
      <c r="I56" s="31">
        <v>30</v>
      </c>
      <c r="J56" s="30">
        <v>25</v>
      </c>
    </row>
    <row r="57" spans="1:10" x14ac:dyDescent="0.25">
      <c r="A57" s="96"/>
      <c r="B57" s="97" t="s">
        <v>62</v>
      </c>
      <c r="C57" s="98"/>
      <c r="D57" s="32">
        <v>6.7000000000000004E-2</v>
      </c>
      <c r="E57" s="32">
        <v>6.7000000000000004E-2</v>
      </c>
      <c r="F57" s="32">
        <v>6.7000000000000004E-2</v>
      </c>
      <c r="G57" s="32">
        <v>5.0999999999999997E-2</v>
      </c>
      <c r="H57" s="32">
        <v>6.7000000000000004E-2</v>
      </c>
      <c r="I57" s="33">
        <v>5.0999999999999997E-2</v>
      </c>
      <c r="J57" s="32">
        <v>5.7500000000000002E-2</v>
      </c>
    </row>
    <row r="58" spans="1:10" x14ac:dyDescent="0.25">
      <c r="A58" s="96"/>
      <c r="B58" s="97" t="s">
        <v>63</v>
      </c>
      <c r="C58" s="98"/>
      <c r="D58" s="34">
        <f>(D27-D31)*0.067</f>
        <v>1744.68</v>
      </c>
      <c r="E58" s="34">
        <f t="shared" ref="E58:J58" si="6">(E27-E31)*0.067</f>
        <v>1800.96</v>
      </c>
      <c r="F58" s="34">
        <f t="shared" si="6"/>
        <v>3292.38</v>
      </c>
      <c r="G58" s="34">
        <f>(G27-G31)*0.051</f>
        <v>4014.1079999999997</v>
      </c>
      <c r="H58" s="34">
        <f t="shared" si="6"/>
        <v>2729.5800000000004</v>
      </c>
      <c r="I58" s="34">
        <f>(I27-I31)*0.051</f>
        <v>1135.26</v>
      </c>
      <c r="J58" s="34">
        <f t="shared" si="6"/>
        <v>1407</v>
      </c>
    </row>
    <row r="59" spans="1:10" x14ac:dyDescent="0.25">
      <c r="A59" s="30" t="s">
        <v>19</v>
      </c>
      <c r="B59" s="30"/>
      <c r="C59" s="30"/>
      <c r="D59" s="30">
        <f>D40</f>
        <v>900</v>
      </c>
      <c r="E59" s="30">
        <f t="shared" ref="E59:J59" si="7">E40</f>
        <v>750</v>
      </c>
      <c r="F59" s="30">
        <f>F40</f>
        <v>250</v>
      </c>
      <c r="G59" s="30">
        <f>G40</f>
        <v>150</v>
      </c>
      <c r="H59" s="30">
        <f>H40</f>
        <v>750</v>
      </c>
      <c r="I59" s="30">
        <f t="shared" si="7"/>
        <v>50</v>
      </c>
      <c r="J59" s="30">
        <f t="shared" si="7"/>
        <v>20</v>
      </c>
    </row>
    <row r="60" spans="1:10" x14ac:dyDescent="0.25">
      <c r="A60" s="30" t="s">
        <v>69</v>
      </c>
      <c r="B60" s="30"/>
      <c r="C60" s="30"/>
      <c r="D60" s="34">
        <f>D52</f>
        <v>5450</v>
      </c>
      <c r="E60" s="34">
        <f t="shared" ref="E60:J60" si="8">E52</f>
        <v>5040</v>
      </c>
      <c r="F60" s="34">
        <f>F52</f>
        <v>3501.5384615384614</v>
      </c>
      <c r="G60" s="34">
        <f>G52</f>
        <v>2540.0000000000005</v>
      </c>
      <c r="H60" s="34">
        <f>H52</f>
        <v>4360</v>
      </c>
      <c r="I60" s="34">
        <f t="shared" si="8"/>
        <v>6520</v>
      </c>
      <c r="J60" s="34">
        <f t="shared" si="8"/>
        <v>20</v>
      </c>
    </row>
    <row r="61" spans="1:10" x14ac:dyDescent="0.25">
      <c r="A61" s="30" t="s">
        <v>89</v>
      </c>
      <c r="B61" s="64">
        <v>24</v>
      </c>
      <c r="C61" s="30" t="s">
        <v>90</v>
      </c>
      <c r="D61" s="34">
        <f>B3*0.26/1000*B61</f>
        <v>374.4</v>
      </c>
      <c r="E61" s="34">
        <f>B3*0.2/1000*B61</f>
        <v>288</v>
      </c>
      <c r="F61" s="34">
        <v>0</v>
      </c>
      <c r="G61" s="34">
        <v>0</v>
      </c>
      <c r="H61" s="34">
        <v>0</v>
      </c>
      <c r="I61" s="34">
        <v>0</v>
      </c>
      <c r="J61" s="30">
        <v>0</v>
      </c>
    </row>
    <row r="62" spans="1:10" ht="7.5" customHeight="1" x14ac:dyDescent="0.25">
      <c r="A62" s="30"/>
      <c r="B62" s="30"/>
      <c r="C62" s="30"/>
      <c r="D62" s="30"/>
      <c r="E62" s="30"/>
      <c r="F62" s="30"/>
      <c r="G62" s="30"/>
      <c r="H62" s="30"/>
      <c r="I62" s="31"/>
      <c r="J62" s="34"/>
    </row>
    <row r="63" spans="1:10" x14ac:dyDescent="0.25">
      <c r="A63" s="36" t="s">
        <v>66</v>
      </c>
      <c r="B63" s="36"/>
      <c r="C63" s="36"/>
      <c r="D63" s="37">
        <f t="shared" ref="D63:J63" si="9">SUM(D58:D60)</f>
        <v>8094.68</v>
      </c>
      <c r="E63" s="37">
        <f t="shared" si="9"/>
        <v>7590.96</v>
      </c>
      <c r="F63" s="37">
        <f t="shared" si="9"/>
        <v>7043.918461538462</v>
      </c>
      <c r="G63" s="37">
        <f t="shared" si="9"/>
        <v>6704.1080000000002</v>
      </c>
      <c r="H63" s="37">
        <f t="shared" si="9"/>
        <v>7839.58</v>
      </c>
      <c r="I63" s="37">
        <f t="shared" si="9"/>
        <v>7705.26</v>
      </c>
      <c r="J63" s="37">
        <f t="shared" si="9"/>
        <v>1447</v>
      </c>
    </row>
    <row r="64" spans="1:10" ht="6" customHeight="1" x14ac:dyDescent="0.25">
      <c r="A64" s="30"/>
      <c r="B64" s="30"/>
      <c r="C64" s="30"/>
      <c r="D64" s="30"/>
      <c r="E64" s="30"/>
      <c r="F64" s="30"/>
      <c r="G64" s="30"/>
      <c r="H64" s="30"/>
      <c r="I64" s="31"/>
      <c r="J64" s="30"/>
    </row>
    <row r="65" spans="1:11" x14ac:dyDescent="0.25">
      <c r="A65" s="36" t="s">
        <v>22</v>
      </c>
      <c r="B65" s="36"/>
      <c r="C65" s="36"/>
      <c r="D65" s="36">
        <f>ROUND(D63/$B$3*100,1)</f>
        <v>13.5</v>
      </c>
      <c r="E65" s="36">
        <f t="shared" ref="E65:I65" si="10">ROUND(E63/$B$3*100,1)</f>
        <v>12.7</v>
      </c>
      <c r="F65" s="36">
        <f>ROUND(F63/$B$3*100,1)</f>
        <v>11.7</v>
      </c>
      <c r="G65" s="36">
        <f>ROUND(G63/$B$3*100,1)</f>
        <v>11.2</v>
      </c>
      <c r="H65" s="36">
        <f>ROUND(H63/$B$3*100,1)</f>
        <v>13.1</v>
      </c>
      <c r="I65" s="36">
        <f t="shared" si="10"/>
        <v>12.8</v>
      </c>
      <c r="J65" s="36">
        <f>ROUND(J63/5400*100,1)</f>
        <v>26.8</v>
      </c>
    </row>
    <row r="68" spans="1:11" ht="30.6" x14ac:dyDescent="0.25">
      <c r="A68" s="87" t="s">
        <v>73</v>
      </c>
      <c r="B68" s="88"/>
      <c r="C68" s="89"/>
      <c r="D68" s="72" t="s">
        <v>6</v>
      </c>
      <c r="E68" s="72" t="s">
        <v>25</v>
      </c>
      <c r="F68" s="72" t="s">
        <v>97</v>
      </c>
      <c r="G68" s="72" t="s">
        <v>96</v>
      </c>
      <c r="H68" s="72" t="s">
        <v>5</v>
      </c>
      <c r="I68" s="72" t="s">
        <v>34</v>
      </c>
      <c r="J68" s="72" t="s">
        <v>37</v>
      </c>
    </row>
    <row r="69" spans="1:11" s="9" customFormat="1" x14ac:dyDescent="0.25">
      <c r="A69" s="75" t="s">
        <v>74</v>
      </c>
      <c r="B69" s="75" t="s">
        <v>75</v>
      </c>
      <c r="C69" s="75"/>
      <c r="D69" s="76">
        <f>B8*2.977/1000</f>
        <v>17.861999999999998</v>
      </c>
      <c r="E69" s="76">
        <f>B5*0.23/1000</f>
        <v>13.8</v>
      </c>
      <c r="F69" s="76">
        <f>B7*0.102/1000</f>
        <v>2.3538461538461535</v>
      </c>
      <c r="G69" s="76">
        <f>B4*0.102/1000</f>
        <v>1.7</v>
      </c>
      <c r="H69" s="76">
        <f>B6*0.0344</f>
        <v>0.4128</v>
      </c>
      <c r="I69" s="76">
        <f>B3/5000*0.023</f>
        <v>0.27600000000000002</v>
      </c>
      <c r="J69" s="75"/>
      <c r="K69" s="40"/>
    </row>
    <row r="70" spans="1:11" ht="13.2" x14ac:dyDescent="0.25">
      <c r="A70" s="82" t="s">
        <v>80</v>
      </c>
      <c r="B70" s="82" t="s">
        <v>83</v>
      </c>
      <c r="C70" s="79"/>
      <c r="D70" s="79"/>
      <c r="E70" s="80">
        <f>D69-E69</f>
        <v>4.0619999999999976</v>
      </c>
      <c r="F70" s="80">
        <f>D69-F69</f>
        <v>15.508153846153846</v>
      </c>
      <c r="G70" s="80">
        <f>D69-G69</f>
        <v>16.161999999999999</v>
      </c>
      <c r="H70" s="80">
        <f>D69-H69</f>
        <v>17.449199999999998</v>
      </c>
      <c r="I70" s="80">
        <f>D69-I69</f>
        <v>17.585999999999999</v>
      </c>
      <c r="J70" s="79"/>
    </row>
    <row r="71" spans="1:11" ht="13.2" x14ac:dyDescent="0.25">
      <c r="A71" s="82" t="s">
        <v>80</v>
      </c>
      <c r="B71" s="82" t="s">
        <v>81</v>
      </c>
      <c r="C71" s="79"/>
      <c r="D71" s="79"/>
      <c r="E71" s="81">
        <f>E70/D69</f>
        <v>0.227410144440712</v>
      </c>
      <c r="F71" s="81">
        <f>F70/D69</f>
        <v>0.86822045941965331</v>
      </c>
      <c r="G71" s="81">
        <f>G70/D69</f>
        <v>0.90482588735863845</v>
      </c>
      <c r="H71" s="81">
        <f>H70/D69</f>
        <v>0.97688948605979165</v>
      </c>
      <c r="I71" s="81">
        <f>I70/D69</f>
        <v>0.98454820288881428</v>
      </c>
      <c r="J71" s="79"/>
    </row>
    <row r="72" spans="1:11" x14ac:dyDescent="0.25">
      <c r="A72" t="s">
        <v>98</v>
      </c>
    </row>
  </sheetData>
  <mergeCells count="13">
    <mergeCell ref="A68:C68"/>
    <mergeCell ref="A55:C55"/>
    <mergeCell ref="A56:A58"/>
    <mergeCell ref="B57:C57"/>
    <mergeCell ref="B58:C58"/>
    <mergeCell ref="A51:C51"/>
    <mergeCell ref="A52:C52"/>
    <mergeCell ref="A11:C11"/>
    <mergeCell ref="A25:C25"/>
    <mergeCell ref="A27:C27"/>
    <mergeCell ref="A33:C33"/>
    <mergeCell ref="A43:C43"/>
    <mergeCell ref="A30:C30"/>
  </mergeCells>
  <phoneticPr fontId="0" type="noConversion"/>
  <pageMargins left="0.2" right="0.11" top="0.59" bottom="0.69" header="0.4921259845" footer="0.4921259845"/>
  <pageSetup paperSize="9" scale="76" orientation="landscape" verticalDpi="300" r:id="rId1"/>
  <headerFooter alignWithMargins="0">
    <oddFooter>&amp;CVersion Jan. 2019</oddFooter>
  </headerFooter>
  <rowBreaks count="4" manualBreakCount="4">
    <brk id="41" max="16383" man="1"/>
    <brk id="73" max="10" man="1"/>
    <brk id="104" max="10" man="1"/>
    <brk id="13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9" sqref="B9"/>
    </sheetView>
  </sheetViews>
  <sheetFormatPr baseColWidth="10" defaultRowHeight="13.2" x14ac:dyDescent="0.25"/>
  <cols>
    <col min="1" max="1" width="15.5546875" customWidth="1"/>
  </cols>
  <sheetData>
    <row r="1" spans="1:2" x14ac:dyDescent="0.25">
      <c r="A1" t="s">
        <v>58</v>
      </c>
    </row>
    <row r="3" spans="1:2" x14ac:dyDescent="0.25">
      <c r="A3" t="s">
        <v>59</v>
      </c>
      <c r="B3" s="20">
        <v>0.03</v>
      </c>
    </row>
    <row r="4" spans="1:2" x14ac:dyDescent="0.25">
      <c r="A4" t="s">
        <v>60</v>
      </c>
      <c r="B4" s="22">
        <v>25</v>
      </c>
    </row>
    <row r="5" spans="1:2" x14ac:dyDescent="0.25">
      <c r="A5" s="23" t="s">
        <v>61</v>
      </c>
      <c r="B5" s="21">
        <f>PMT(B3,B4,1)*-1</f>
        <v>5.7427871039127797E-2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15000 kWh</vt:lpstr>
      <vt:lpstr>30000 kWh</vt:lpstr>
      <vt:lpstr>60000 kWh</vt:lpstr>
      <vt:lpstr>Annuitätenrechner</vt:lpstr>
      <vt:lpstr>Tabelle3</vt:lpstr>
      <vt:lpstr>'15000 kWh'!Druckbereich</vt:lpstr>
      <vt:lpstr>'30000 kWh'!Druckbereich</vt:lpstr>
      <vt:lpstr>'60000 kWh'!Druckbereich</vt:lpstr>
    </vt:vector>
  </TitlesOfParts>
  <Company>Lignaplan Waldstatt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 Denise;Irene Fässler</dc:creator>
  <cp:lastModifiedBy>Rainer Jahnke</cp:lastModifiedBy>
  <cp:lastPrinted>2019-01-04T12:33:03Z</cp:lastPrinted>
  <dcterms:created xsi:type="dcterms:W3CDTF">2003-02-26T15:07:04Z</dcterms:created>
  <dcterms:modified xsi:type="dcterms:W3CDTF">2019-04-04T08:52:12Z</dcterms:modified>
</cp:coreProperties>
</file>